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101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'Cash-Flow-2023-Leva'!$B$1:$P$149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<sst xmlns="http://schemas.openxmlformats.org/spreadsheetml/2006/main" count="674" uniqueCount="459">
  <si>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</si>
  <si>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</si>
  <si>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</si>
  <si>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</si>
  <si>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</si>
  <si>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</si>
  <si>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</si>
  <si>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</si>
  <si>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</si>
  <si>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</si>
  <si>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</si>
  <si>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</si>
  <si>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</si>
  <si>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</si>
  <si>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</si>
  <si>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</si>
  <si>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</si>
  <si>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</si>
  <si>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</si>
  <si>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</si>
  <si>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</si>
  <si>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</si>
  <si>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</si>
  <si>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</si>
  <si>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</si>
  <si>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</si>
  <si>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</si>
  <si>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</si>
  <si>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</si>
  <si>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</si>
  <si>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</si>
  <si>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</si>
  <si>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</si>
  <si>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</si>
  <si>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</si>
  <si>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</si>
  <si>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</si>
  <si>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</si>
  <si>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</si>
  <si>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</si>
  <si>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</si>
  <si>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</si>
  <si>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</si>
  <si>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</si>
  <si>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</si>
  <si>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</si>
  <si>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</si>
  <si>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</si>
  <si>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</si>
  <si>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</si>
  <si>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</si>
  <si>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</si>
  <si>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</si>
  <si>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</si>
  <si>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</si>
  <si>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</si>
  <si>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</si>
  <si>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</si>
  <si>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</si>
  <si>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</si>
  <si>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</si>
  <si>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</si>
  <si>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</si>
  <si>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</si>
  <si>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</si>
  <si>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</si>
  <si>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</si>
  <si>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</si>
  <si>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</si>
  <si>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</si>
  <si>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</si>
  <si>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</si>
  <si>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</si>
  <si>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</si>
  <si>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</si>
  <si>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</si>
  <si>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</si>
  <si>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</si>
  <si>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</si>
  <si>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</si>
  <si>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</si>
  <si>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</si>
  <si>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</si>
  <si>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</si>
  <si>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</si>
  <si>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</si>
  <si>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</si>
  <si>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</si>
  <si>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</si>
  <si>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</si>
  <si>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</si>
  <si>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</si>
  <si>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</si>
  <si>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</si>
  <si>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</si>
  <si>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</si>
  <si>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</si>
  <si>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</si>
  <si>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</si>
  <si>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</si>
  <si>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</si>
  <si>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</si>
  <si>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</si>
  <si>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</si>
  <si>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</si>
  <si>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</si>
  <si>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</si>
  <si>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</si>
  <si>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</si>
  <si>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</si>
  <si>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</si>
  <si>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</si>
  <si>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</si>
  <si>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</si>
  <si>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</si>
  <si>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</si>
  <si>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</si>
  <si>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</si>
  <si>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</si>
  <si>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</si>
  <si>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</si>
  <si>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</si>
  <si>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</si>
  <si>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</si>
  <si>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</si>
  <si>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</si>
  <si>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</si>
  <si>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</si>
  <si>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</si>
  <si>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</si>
  <si>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</si>
  <si>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</si>
  <si>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</si>
  <si>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</si>
  <si>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</si>
  <si>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</si>
  <si>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</si>
  <si>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</si>
  <si>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</si>
  <si>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</si>
  <si>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</si>
  <si>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</si>
  <si>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</si>
  <si>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</si>
  <si>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</si>
  <si>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</si>
  <si>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</si>
  <si>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</si>
  <si>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</si>
  <si>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</si>
  <si>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</si>
  <si>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</si>
  <si>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</si>
  <si>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</si>
  <si>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</si>
  <si>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</si>
  <si>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</si>
  <si>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</si>
  <si>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</si>
  <si>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</si>
  <si>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</si>
  <si>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</si>
  <si>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</si>
  <si>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</si>
  <si>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</si>
  <si>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</si>
  <si>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</si>
  <si>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</si>
  <si>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</si>
  <si>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</si>
  <si>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</si>
  <si>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</si>
  <si>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</si>
  <si>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</si>
  <si>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</si>
  <si>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</si>
  <si>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</si>
  <si>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</si>
  <si>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</si>
  <si>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</si>
  <si>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</si>
  <si>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</si>
  <si>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</si>
  <si>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</si>
  <si>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</si>
  <si>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</si>
  <si>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</si>
  <si>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</si>
  <si>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</si>
  <si>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</si>
  <si>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</si>
  <si>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</si>
  <si>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</si>
  <si>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</si>
  <si>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</si>
  <si>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</si>
  <si>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</si>
  <si>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</si>
  <si>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</si>
  <si>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</si>
  <si>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</si>
  <si>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</si>
  <si>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</si>
  <si>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</si>
  <si>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</si>
  <si>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</si>
  <si>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</si>
  <si>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</si>
  <si>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</si>
  <si>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</si>
  <si>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</si>
  <si>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</si>
  <si>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</si>
  <si>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</si>
  <si>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</si>
  <si>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</si>
  <si>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</si>
  <si>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</si>
  <si>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</si>
  <si>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</si>
  <si>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</si>
  <si>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</si>
  <si>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</si>
  <si>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</si>
  <si>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</si>
  <si>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</si>
  <si>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</si>
  <si>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</si>
  <si>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</si>
  <si>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</si>
  <si>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</si>
  <si>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</si>
  <si>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</si>
  <si>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</si>
  <si>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</si>
  <si>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</si>
  <si>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</si>
  <si>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</si>
  <si>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</si>
  <si>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</si>
  <si>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</si>
  <si>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</si>
  <si>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</si>
  <si>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</si>
  <si>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</si>
  <si>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</si>
  <si>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</si>
  <si>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</si>
  <si>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</si>
  <si>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</si>
  <si>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</si>
  <si>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</si>
  <si>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</si>
  <si>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</si>
  <si>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</si>
  <si>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</si>
  <si>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</si>
  <si>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</si>
  <si>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</si>
  <si>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</si>
  <si>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</si>
  <si>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</si>
  <si>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</si>
  <si>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</si>
  <si>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</si>
  <si>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</si>
  <si>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</si>
  <si>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</si>
  <si>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</si>
  <si>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</si>
  <si>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</si>
  <si>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</si>
  <si>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</si>
  <si>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</si>
  <si>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</si>
  <si>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</si>
  <si>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</si>
  <si>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</si>
  <si>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</si>
  <si>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</si>
  <si>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</si>
  <si>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</si>
  <si>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</si>
  <si>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</si>
  <si>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</si>
  <si>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</si>
  <si>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</si>
  <si>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</si>
  <si>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</si>
  <si>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</si>
  <si>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</si>
  <si>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</si>
  <si>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</si>
  <si>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</si>
  <si>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</si>
  <si>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</si>
  <si>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</si>
  <si>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</si>
  <si>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</si>
  <si>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</si>
  <si>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</si>
  <si>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</si>
  <si>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</si>
  <si>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</si>
  <si>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</si>
  <si>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</si>
  <si>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</si>
  <si>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</si>
  <si>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</si>
  <si>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</si>
  <si>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</si>
  <si>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</si>
  <si>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</si>
  <si>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</si>
  <si>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</si>
  <si>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</si>
  <si>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</si>
  <si>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</si>
  <si>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</si>
  <si>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</si>
  <si>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</si>
  <si>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</si>
  <si>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</si>
  <si>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</si>
  <si>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</si>
  <si>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</si>
  <si>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</si>
  <si>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</si>
  <si>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</si>
  <si>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</si>
  <si>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</si>
  <si>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</si>
  <si>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</si>
  <si>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</si>
  <si>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</si>
  <si>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</si>
  <si>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</si>
  <si>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</si>
  <si>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</si>
  <si>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</si>
  <si>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</si>
  <si>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</si>
  <si>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</si>
  <si>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</si>
  <si>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</si>
  <si>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</si>
  <si>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</si>
  <si>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</si>
  <si>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</si>
  <si>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</si>
  <si>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</si>
  <si>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</si>
  <si>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</si>
  <si>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</si>
  <si>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</si>
  <si>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</si>
  <si>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</si>
  <si>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</si>
  <si>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</si>
  <si>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</si>
  <si>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</si>
  <si>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</si>
  <si>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</si>
  <si>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</si>
  <si>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</si>
  <si>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</si>
  <si>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</si>
  <si>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</si>
  <si>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</si>
  <si>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</si>
  <si>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</si>
  <si>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</si>
  <si>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</si>
  <si>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</si>
  <si>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</si>
  <si>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</si>
  <si>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</si>
  <si>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</si>
  <si>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</si>
  <si>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</si>
  <si>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</si>
  <si>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</si>
  <si>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</si>
  <si>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</si>
  <si>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</si>
  <si>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</si>
  <si>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</si>
  <si>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</si>
  <si>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</si>
  <si>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</si>
  <si>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</si>
  <si>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</si>
  <si>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</si>
  <si>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</si>
  <si>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</si>
  <si>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</si>
  <si>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</si>
  <si>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</si>
  <si>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</si>
  <si>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</si>
  <si>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</si>
  <si>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</si>
  <si>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</si>
  <si>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</si>
  <si>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</si>
  <si>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</si>
  <si>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</si>
  <si>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</si>
  <si>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</si>
  <si>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</si>
  <si>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</si>
  <si>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</si>
  <si>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</si>
  <si>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</si>
  <si>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</si>
  <si>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</si>
  <si>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</si>
  <si>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</si>
  <si>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</si>
  <si>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</si>
  <si>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</si>
  <si>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</si>
  <si>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</si>
  <si>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</si>
  <si>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</si>
  <si>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</si>
  <si>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</si>
  <si>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</si>
  <si>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</si>
  <si>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</si>
  <si>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</si>
  <si>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</si>
  <si>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</si>
  <si>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</si>
  <si>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</si>
  <si>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</si>
  <si>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</si>
  <si>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</si>
  <si>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</si>
  <si>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</si>
  <si>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</si>
  <si>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</si>
  <si>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</si>
  <si>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</si>
  <si>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</si>
  <si>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</si>
  <si>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</si>
  <si>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</si>
  <si>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</si>
  <si>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</si>
  <si>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</si>
  <si>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</si>
  <si>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</si>
  <si>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</si>
  <si>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</si>
  <si>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МИНИСТЕРСКИ СЪВЕТ</t>
  </si>
  <si>
    <t>www.government.bg</t>
  </si>
  <si>
    <t>РОСИЦА БАРЪМОВА</t>
  </si>
  <si>
    <t>ВАНЯ СТОЙНЕВА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</si>
</sst>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76" fontId="154" fillId="32" borderId="0" xfId="65" applyNumberFormat="1" applyFont="1" applyFill="1" applyAlignment="1" applyProtection="1">
      <alignment/>
      <protection/>
    </xf>
    <xf numFmtId="0" fontId="152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2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21" fillId="38" borderId="0" xfId="57" applyNumberFormat="1" applyFont="1" applyFill="1" applyBorder="1" applyAlignment="1">
      <alignment horizontal="right"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16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21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4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8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1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3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3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21" fillId="33" borderId="0" xfId="65" applyNumberFormat="1" applyFont="1" applyFill="1" applyBorder="1" applyAlignment="1" applyProtection="1">
      <alignment/>
      <protection/>
    </xf>
    <xf numFmtId="38" fontId="21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21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21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21" fillId="44" borderId="42" xfId="65" applyNumberFormat="1" applyFont="1" applyFill="1" applyBorder="1" applyAlignment="1" applyProtection="1">
      <alignment/>
      <protection/>
    </xf>
    <xf numFmtId="38" fontId="21" fillId="44" borderId="43" xfId="65" applyNumberFormat="1" applyFont="1" applyFill="1" applyBorder="1" applyAlignment="1" applyProtection="1">
      <alignment/>
      <protection/>
    </xf>
    <xf numFmtId="38" fontId="21" fillId="44" borderId="44" xfId="65" applyNumberFormat="1" applyFont="1" applyFill="1" applyBorder="1" applyAlignment="1" applyProtection="1">
      <alignment/>
      <protection/>
    </xf>
    <xf numFmtId="38" fontId="21" fillId="45" borderId="42" xfId="65" applyNumberFormat="1" applyFont="1" applyFill="1" applyBorder="1" applyAlignment="1" applyProtection="1">
      <alignment/>
      <protection/>
    </xf>
    <xf numFmtId="38" fontId="21" fillId="45" borderId="43" xfId="65" applyNumberFormat="1" applyFont="1" applyFill="1" applyBorder="1" applyAlignment="1" applyProtection="1">
      <alignment/>
      <protection/>
    </xf>
    <xf numFmtId="38" fontId="21" fillId="45" borderId="44" xfId="65" applyNumberFormat="1" applyFont="1" applyFill="1" applyBorder="1" applyAlignment="1" applyProtection="1">
      <alignment/>
      <protection/>
    </xf>
    <xf numFmtId="38" fontId="21" fillId="33" borderId="45" xfId="65" applyNumberFormat="1" applyFont="1" applyFill="1" applyBorder="1" applyAlignment="1" applyProtection="1">
      <alignment/>
      <protection/>
    </xf>
    <xf numFmtId="38" fontId="21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5" fillId="43" borderId="53" xfId="65" applyNumberFormat="1" applyFont="1" applyFill="1" applyBorder="1" applyAlignment="1" applyProtection="1">
      <alignment/>
      <protection/>
    </xf>
    <xf numFmtId="38" fontId="25" fillId="43" borderId="54" xfId="65" applyNumberFormat="1" applyFont="1" applyFill="1" applyBorder="1" applyAlignment="1" applyProtection="1">
      <alignment/>
      <protection/>
    </xf>
    <xf numFmtId="38" fontId="25" fillId="43" borderId="47" xfId="65" applyNumberFormat="1" applyFont="1" applyFill="1" applyBorder="1" applyAlignment="1" applyProtection="1">
      <alignment/>
      <protection/>
    </xf>
    <xf numFmtId="38" fontId="25" fillId="43" borderId="48" xfId="65" applyNumberFormat="1" applyFont="1" applyFill="1" applyBorder="1" applyAlignment="1" applyProtection="1">
      <alignment/>
      <protection/>
    </xf>
    <xf numFmtId="38" fontId="25" fillId="43" borderId="49" xfId="65" applyNumberFormat="1" applyFont="1" applyFill="1" applyBorder="1" applyAlignment="1" applyProtection="1">
      <alignment/>
      <protection/>
    </xf>
    <xf numFmtId="38" fontId="25" fillId="43" borderId="50" xfId="65" applyNumberFormat="1" applyFont="1" applyFill="1" applyBorder="1" applyAlignment="1" applyProtection="1">
      <alignment/>
      <protection/>
    </xf>
    <xf numFmtId="38" fontId="21" fillId="33" borderId="55" xfId="65" applyNumberFormat="1" applyFont="1" applyFill="1" applyBorder="1" applyAlignment="1" applyProtection="1">
      <alignment/>
      <protection/>
    </xf>
    <xf numFmtId="38" fontId="21" fillId="33" borderId="19" xfId="65" applyNumberFormat="1" applyFont="1" applyFill="1" applyBorder="1" applyAlignment="1" applyProtection="1">
      <alignment/>
      <protection/>
    </xf>
    <xf numFmtId="38" fontId="21" fillId="33" borderId="52" xfId="65" applyNumberFormat="1" applyFont="1" applyFill="1" applyBorder="1" applyAlignment="1" applyProtection="1">
      <alignment/>
      <protection/>
    </xf>
    <xf numFmtId="38" fontId="25" fillId="43" borderId="43" xfId="65" applyNumberFormat="1" applyFont="1" applyFill="1" applyBorder="1" applyAlignment="1" applyProtection="1">
      <alignment/>
      <protection/>
    </xf>
    <xf numFmtId="38" fontId="25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1" fillId="33" borderId="27" xfId="0" applyNumberFormat="1" applyFont="1" applyFill="1" applyBorder="1" applyAlignment="1" applyProtection="1">
      <alignment horizontal="center"/>
      <protection locked="0"/>
    </xf>
    <xf numFmtId="185" fontId="161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21" fillId="33" borderId="62" xfId="65" applyNumberFormat="1" applyFont="1" applyFill="1" applyBorder="1" applyAlignment="1" applyProtection="1">
      <alignment/>
      <protection/>
    </xf>
    <xf numFmtId="38" fontId="21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21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5" fillId="43" borderId="51" xfId="65" applyNumberFormat="1" applyFont="1" applyFill="1" applyBorder="1" applyAlignment="1" applyProtection="1">
      <alignment/>
      <protection/>
    </xf>
    <xf numFmtId="38" fontId="25" fillId="43" borderId="59" xfId="65" applyNumberFormat="1" applyFont="1" applyFill="1" applyBorder="1" applyAlignment="1" applyProtection="1">
      <alignment/>
      <protection/>
    </xf>
    <xf numFmtId="38" fontId="25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5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2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3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3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3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3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3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3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3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3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21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1" fillId="43" borderId="55" xfId="65" applyNumberFormat="1" applyFont="1" applyFill="1" applyBorder="1" applyAlignment="1" applyProtection="1">
      <alignment horizontal="center"/>
      <protection/>
    </xf>
    <xf numFmtId="38" fontId="21" fillId="43" borderId="19" xfId="65" applyNumberFormat="1" applyFont="1" applyFill="1" applyBorder="1" applyAlignment="1" applyProtection="1">
      <alignment horizontal="center"/>
      <protection/>
    </xf>
    <xf numFmtId="38" fontId="21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5" fillId="43" borderId="42" xfId="65" applyNumberFormat="1" applyFont="1" applyFill="1" applyBorder="1" applyAlignment="1" applyProtection="1">
      <alignment horizontal="center"/>
      <protection/>
    </xf>
    <xf numFmtId="38" fontId="25" fillId="43" borderId="43" xfId="65" applyNumberFormat="1" applyFont="1" applyFill="1" applyBorder="1" applyAlignment="1" applyProtection="1">
      <alignment horizontal="center"/>
      <protection/>
    </xf>
    <xf numFmtId="38" fontId="25" fillId="43" borderId="44" xfId="65" applyNumberFormat="1" applyFont="1" applyFill="1" applyBorder="1" applyAlignment="1" applyProtection="1">
      <alignment horizontal="center"/>
      <protection/>
    </xf>
    <xf numFmtId="38" fontId="21" fillId="33" borderId="55" xfId="65" applyNumberFormat="1" applyFont="1" applyFill="1" applyBorder="1" applyAlignment="1" applyProtection="1">
      <alignment horizontal="center"/>
      <protection/>
    </xf>
    <xf numFmtId="38" fontId="21" fillId="33" borderId="19" xfId="65" applyNumberFormat="1" applyFont="1" applyFill="1" applyBorder="1" applyAlignment="1" applyProtection="1">
      <alignment horizontal="center"/>
      <protection/>
    </xf>
    <xf numFmtId="38" fontId="21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21" fillId="33" borderId="62" xfId="65" applyNumberFormat="1" applyFont="1" applyFill="1" applyBorder="1" applyAlignment="1" applyProtection="1">
      <alignment horizontal="left"/>
      <protection/>
    </xf>
    <xf numFmtId="38" fontId="21" fillId="33" borderId="45" xfId="65" applyNumberFormat="1" applyFont="1" applyFill="1" applyBorder="1" applyAlignment="1" applyProtection="1">
      <alignment horizontal="left"/>
      <protection/>
    </xf>
    <xf numFmtId="38" fontId="21" fillId="33" borderId="46" xfId="65" applyNumberFormat="1" applyFont="1" applyFill="1" applyBorder="1" applyAlignment="1" applyProtection="1">
      <alignment horizontal="left"/>
      <protection/>
    </xf>
    <xf numFmtId="38" fontId="21" fillId="33" borderId="61" xfId="65" applyNumberFormat="1" applyFont="1" applyFill="1" applyBorder="1" applyAlignment="1" applyProtection="1">
      <alignment horizontal="left"/>
      <protection/>
    </xf>
    <xf numFmtId="38" fontId="21" fillId="33" borderId="30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5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8" fillId="39" borderId="102" xfId="0" applyNumberFormat="1" applyFont="1" applyFill="1" applyBorder="1" applyAlignment="1" applyProtection="1" quotePrefix="1">
      <alignment horizontal="center"/>
      <protection/>
    </xf>
    <xf numFmtId="193" fontId="164" fillId="41" borderId="102" xfId="0" applyNumberFormat="1" applyFont="1" applyFill="1" applyBorder="1" applyAlignment="1" applyProtection="1" quotePrefix="1">
      <alignment horizontal="center"/>
      <protection/>
    </xf>
    <xf numFmtId="193" fontId="165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21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6" fillId="38" borderId="104" xfId="0" applyNumberFormat="1" applyFont="1" applyFill="1" applyBorder="1" applyAlignment="1" applyProtection="1">
      <alignment horizontal="center"/>
      <protection/>
    </xf>
    <xf numFmtId="184" fontId="166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6" fontId="167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3" fillId="43" borderId="108" xfId="0" applyNumberFormat="1" applyFont="1" applyFill="1" applyBorder="1" applyAlignment="1" applyProtection="1">
      <alignment/>
      <protection/>
    </xf>
    <xf numFmtId="186" fontId="33" fillId="43" borderId="92" xfId="0" applyNumberFormat="1" applyFont="1" applyFill="1" applyBorder="1" applyAlignment="1" applyProtection="1">
      <alignment/>
      <protection/>
    </xf>
    <xf numFmtId="186" fontId="33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3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7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21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74" fontId="58" fillId="50" borderId="27" xfId="64" applyNumberFormat="1" applyFont="1" applyFill="1" applyBorder="1" applyAlignment="1" applyProtection="1">
      <alignment horizontal="center" vertical="center"/>
      <protection locked="0"/>
    </xf>
    <xf numFmtId="176" fontId="152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82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9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9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174" fontId="173" fillId="33" borderId="27" xfId="64" applyNumberFormat="1" applyFont="1" applyFill="1" applyBorder="1" applyAlignment="1" applyProtection="1">
      <alignment horizontal="center" vertical="center"/>
      <protection/>
    </xf>
    <xf numFmtId="0" fontId="16" fillId="33" borderId="27" xfId="64" applyNumberFormat="1" applyFont="1" applyFill="1" applyBorder="1" applyAlignment="1" applyProtection="1">
      <alignment horizontal="center" vertical="center"/>
      <protection/>
    </xf>
    <xf numFmtId="0" fontId="16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5" fillId="33" borderId="71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4" fillId="33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4" fillId="32" borderId="116" xfId="0" applyNumberFormat="1" applyFont="1" applyFill="1" applyBorder="1" applyAlignment="1" applyProtection="1" quotePrefix="1">
      <alignment/>
      <protection/>
    </xf>
    <xf numFmtId="176" fontId="175" fillId="32" borderId="32" xfId="0" applyNumberFormat="1" applyFont="1" applyFill="1" applyBorder="1" applyAlignment="1" applyProtection="1" quotePrefix="1">
      <alignment/>
      <protection/>
    </xf>
    <xf numFmtId="176" fontId="174" fillId="33" borderId="86" xfId="0" applyNumberFormat="1" applyFont="1" applyFill="1" applyBorder="1" applyAlignment="1" applyProtection="1" quotePrefix="1">
      <alignment/>
      <protection/>
    </xf>
    <xf numFmtId="176" fontId="175" fillId="33" borderId="87" xfId="0" applyNumberFormat="1" applyFont="1" applyFill="1" applyBorder="1" applyAlignment="1" applyProtection="1" quotePrefix="1">
      <alignment/>
      <protection/>
    </xf>
    <xf numFmtId="176" fontId="175" fillId="33" borderId="32" xfId="0" applyNumberFormat="1" applyFont="1" applyFill="1" applyBorder="1" applyAlignment="1" applyProtection="1" quotePrefix="1">
      <alignment/>
      <protection/>
    </xf>
    <xf numFmtId="0" fontId="34" fillId="33" borderId="117" xfId="64" applyFont="1" applyFill="1" applyBorder="1" applyProtection="1">
      <alignment/>
      <protection/>
    </xf>
    <xf numFmtId="0" fontId="34" fillId="33" borderId="43" xfId="64" applyFont="1" applyFill="1" applyBorder="1" applyProtection="1">
      <alignment/>
      <protection/>
    </xf>
    <xf numFmtId="0" fontId="34" fillId="33" borderId="29" xfId="64" applyFont="1" applyFill="1" applyBorder="1" applyProtection="1">
      <alignment/>
      <protection/>
    </xf>
    <xf numFmtId="184" fontId="38" fillId="51" borderId="118" xfId="0" applyNumberFormat="1" applyFont="1" applyFill="1" applyBorder="1" applyAlignment="1" applyProtection="1">
      <alignment horizontal="center"/>
      <protection/>
    </xf>
    <xf numFmtId="184" fontId="39" fillId="42" borderId="118" xfId="0" applyNumberFormat="1" applyFont="1" applyFill="1" applyBorder="1" applyAlignment="1" applyProtection="1">
      <alignment horizontal="center"/>
      <protection/>
    </xf>
    <xf numFmtId="184" fontId="176" fillId="51" borderId="118" xfId="0" applyNumberFormat="1" applyFont="1" applyFill="1" applyBorder="1" applyAlignment="1" applyProtection="1">
      <alignment horizontal="center"/>
      <protection/>
    </xf>
    <xf numFmtId="184" fontId="177" fillId="4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39" fillId="52" borderId="118" xfId="0" applyNumberFormat="1" applyFont="1" applyFill="1" applyBorder="1" applyAlignment="1" applyProtection="1">
      <alignment horizontal="center"/>
      <protection/>
    </xf>
    <xf numFmtId="184" fontId="17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39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180" fillId="40" borderId="118" xfId="0" applyNumberFormat="1" applyFont="1" applyFill="1" applyBorder="1" applyAlignment="1" applyProtection="1">
      <alignment horizontal="center"/>
      <protection/>
    </xf>
    <xf numFmtId="184" fontId="21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6" fillId="38" borderId="119" xfId="0" applyNumberFormat="1" applyFont="1" applyFill="1" applyBorder="1" applyAlignment="1" applyProtection="1">
      <alignment horizontal="center"/>
      <protection/>
    </xf>
    <xf numFmtId="184" fontId="166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3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3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1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3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3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3" fillId="43" borderId="10" xfId="0" applyNumberFormat="1" applyFont="1" applyFill="1" applyBorder="1" applyAlignment="1" applyProtection="1">
      <alignment/>
      <protection locked="0"/>
    </xf>
    <xf numFmtId="176" fontId="167" fillId="32" borderId="0" xfId="0" applyNumberFormat="1" applyFont="1" applyFill="1" applyBorder="1" applyAlignment="1" applyProtection="1" quotePrefix="1">
      <alignment horizontal="center"/>
      <protection/>
    </xf>
    <xf numFmtId="176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21" fillId="32" borderId="55" xfId="65" applyNumberFormat="1" applyFont="1" applyFill="1" applyBorder="1" applyAlignment="1" applyProtection="1">
      <alignment/>
      <protection/>
    </xf>
    <xf numFmtId="38" fontId="21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21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97" fontId="25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199" fontId="25" fillId="32" borderId="69" xfId="58" applyNumberFormat="1" applyFont="1" applyFill="1" applyBorder="1" applyAlignment="1">
      <alignment/>
      <protection/>
    </xf>
    <xf numFmtId="199" fontId="25" fillId="32" borderId="18" xfId="58" applyNumberFormat="1" applyFont="1" applyFill="1" applyBorder="1" applyAlignment="1">
      <alignment/>
      <protection/>
    </xf>
    <xf numFmtId="199" fontId="25" fillId="32" borderId="21" xfId="58" applyNumberFormat="1" applyFont="1" applyFill="1" applyBorder="1" applyAlignment="1">
      <alignment/>
      <protection/>
    </xf>
    <xf numFmtId="199" fontId="25" fillId="45" borderId="69" xfId="58" applyNumberFormat="1" applyFont="1" applyFill="1" applyBorder="1" applyAlignment="1">
      <alignment/>
      <protection/>
    </xf>
    <xf numFmtId="199" fontId="25" fillId="45" borderId="18" xfId="58" applyNumberFormat="1" applyFont="1" applyFill="1" applyBorder="1" applyAlignment="1">
      <alignment/>
      <protection/>
    </xf>
    <xf numFmtId="199" fontId="25" fillId="45" borderId="21" xfId="58" applyNumberFormat="1" applyFont="1" applyFill="1" applyBorder="1" applyAlignment="1">
      <alignment/>
      <protection/>
    </xf>
    <xf numFmtId="203" fontId="25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82" fontId="183" fillId="39" borderId="27" xfId="0" applyNumberFormat="1" applyFont="1" applyFill="1" applyBorder="1" applyAlignment="1" applyProtection="1">
      <alignment horizontal="center"/>
      <protection/>
    </xf>
    <xf numFmtId="193" fontId="158" fillId="39" borderId="27" xfId="0" applyNumberFormat="1" applyFont="1" applyFill="1" applyBorder="1" applyAlignment="1" applyProtection="1" quotePrefix="1">
      <alignment horizontal="center"/>
      <protection/>
    </xf>
    <xf numFmtId="181" fontId="159" fillId="41" borderId="27" xfId="0" applyNumberFormat="1" applyFont="1" applyFill="1" applyBorder="1" applyAlignment="1" applyProtection="1" quotePrefix="1">
      <alignment horizontal="center"/>
      <protection/>
    </xf>
    <xf numFmtId="193" fontId="164" fillId="41" borderId="27" xfId="0" applyNumberFormat="1" applyFont="1" applyFill="1" applyBorder="1" applyAlignment="1" applyProtection="1" quotePrefix="1">
      <alignment horizontal="center"/>
      <protection/>
    </xf>
    <xf numFmtId="181" fontId="164" fillId="41" borderId="27" xfId="0" applyNumberFormat="1" applyFont="1" applyFill="1" applyBorder="1" applyAlignment="1" applyProtection="1" quotePrefix="1">
      <alignment horizontal="center"/>
      <protection/>
    </xf>
    <xf numFmtId="181" fontId="171" fillId="49" borderId="27" xfId="0" applyNumberFormat="1" applyFont="1" applyFill="1" applyBorder="1" applyAlignment="1" applyProtection="1" quotePrefix="1">
      <alignment horizontal="center"/>
      <protection/>
    </xf>
    <xf numFmtId="193" fontId="165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4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3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5" fillId="33" borderId="0" xfId="58" applyNumberFormat="1" applyFont="1" applyFill="1" applyBorder="1" applyAlignment="1">
      <alignment/>
      <protection/>
    </xf>
    <xf numFmtId="179" fontId="25" fillId="33" borderId="0" xfId="57" applyNumberFormat="1" applyFont="1" applyFill="1" applyBorder="1" applyAlignment="1">
      <alignment/>
      <protection/>
    </xf>
    <xf numFmtId="181" fontId="25" fillId="33" borderId="0" xfId="57" applyNumberFormat="1" applyFont="1" applyFill="1" applyBorder="1" applyAlignment="1">
      <alignment/>
      <protection/>
    </xf>
    <xf numFmtId="197" fontId="20" fillId="54" borderId="19" xfId="58" applyNumberFormat="1" applyFont="1" applyFill="1" applyBorder="1" applyAlignment="1">
      <alignment/>
      <protection/>
    </xf>
    <xf numFmtId="197" fontId="20" fillId="54" borderId="69" xfId="58" applyNumberFormat="1" applyFont="1" applyFill="1" applyBorder="1" applyAlignment="1">
      <alignment/>
      <protection/>
    </xf>
    <xf numFmtId="197" fontId="20" fillId="54" borderId="20" xfId="58" applyNumberFormat="1" applyFont="1" applyFill="1" applyBorder="1" applyAlignment="1">
      <alignment/>
      <protection/>
    </xf>
    <xf numFmtId="197" fontId="20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5" fillId="39" borderId="102" xfId="0" applyNumberFormat="1" applyFont="1" applyFill="1" applyBorder="1" applyAlignment="1" applyProtection="1" quotePrefix="1">
      <alignment horizontal="center"/>
      <protection/>
    </xf>
    <xf numFmtId="213" fontId="159" fillId="41" borderId="102" xfId="0" applyNumberFormat="1" applyFont="1" applyFill="1" applyBorder="1" applyAlignment="1" applyProtection="1" quotePrefix="1">
      <alignment horizontal="center"/>
      <protection/>
    </xf>
    <xf numFmtId="213" fontId="171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6" fillId="32" borderId="45" xfId="0" applyNumberFormat="1" applyFont="1" applyFill="1" applyBorder="1" applyAlignment="1" applyProtection="1">
      <alignment horizontal="center"/>
      <protection locked="0"/>
    </xf>
    <xf numFmtId="213" fontId="185" fillId="39" borderId="27" xfId="0" applyNumberFormat="1" applyFont="1" applyFill="1" applyBorder="1" applyAlignment="1" applyProtection="1">
      <alignment horizontal="center"/>
      <protection/>
    </xf>
    <xf numFmtId="213" fontId="159" fillId="41" borderId="27" xfId="0" applyNumberFormat="1" applyFont="1" applyFill="1" applyBorder="1" applyAlignment="1" applyProtection="1" quotePrefix="1">
      <alignment horizontal="center"/>
      <protection/>
    </xf>
    <xf numFmtId="213" fontId="171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7" fillId="33" borderId="45" xfId="0" applyNumberFormat="1" applyFont="1" applyFill="1" applyBorder="1" applyAlignment="1" applyProtection="1">
      <alignment horizontal="center"/>
      <protection/>
    </xf>
    <xf numFmtId="202" fontId="25" fillId="33" borderId="0" xfId="57" applyNumberFormat="1" applyFont="1" applyFill="1" applyBorder="1" applyAlignment="1">
      <alignment horizontal="center"/>
      <protection/>
    </xf>
    <xf numFmtId="181" fontId="25" fillId="32" borderId="0" xfId="57" applyNumberFormat="1" applyFont="1" applyFill="1" applyBorder="1" applyAlignment="1">
      <alignment horizontal="center"/>
      <protection/>
    </xf>
    <xf numFmtId="0" fontId="21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8" fontId="25" fillId="32" borderId="0" xfId="57" applyNumberFormat="1" applyFont="1" applyFill="1" applyBorder="1" applyAlignment="1">
      <alignment horizontal="left"/>
      <protection/>
    </xf>
    <xf numFmtId="178" fontId="27" fillId="45" borderId="0" xfId="57" applyNumberFormat="1" applyFont="1" applyFill="1" applyBorder="1" applyAlignment="1">
      <alignment horizontal="center"/>
      <protection/>
    </xf>
    <xf numFmtId="181" fontId="27" fillId="45" borderId="0" xfId="57" applyNumberFormat="1" applyFont="1" applyFill="1" applyBorder="1" applyAlignment="1">
      <alignment horizontal="center"/>
      <protection/>
    </xf>
    <xf numFmtId="178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5" fillId="45" borderId="0" xfId="57" applyNumberFormat="1" applyFont="1" applyFill="1" applyBorder="1" applyAlignment="1">
      <alignment horizontal="center"/>
      <protection/>
    </xf>
    <xf numFmtId="181" fontId="16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 quotePrefix="1">
      <alignment/>
      <protection/>
    </xf>
    <xf numFmtId="197" fontId="16" fillId="33" borderId="0" xfId="58" applyNumberFormat="1" applyFont="1" applyFill="1" applyBorder="1" applyAlignment="1">
      <alignment horizontal="left"/>
      <protection/>
    </xf>
    <xf numFmtId="0" fontId="16" fillId="32" borderId="68" xfId="57" applyFont="1" applyFill="1" applyBorder="1" quotePrefix="1">
      <alignment/>
      <protection/>
    </xf>
    <xf numFmtId="0" fontId="16" fillId="32" borderId="19" xfId="57" applyFont="1" applyFill="1" applyBorder="1" quotePrefix="1">
      <alignment/>
      <protection/>
    </xf>
    <xf numFmtId="0" fontId="16" fillId="32" borderId="17" xfId="57" applyFont="1" applyFill="1" applyBorder="1" quotePrefix="1">
      <alignment/>
      <protection/>
    </xf>
    <xf numFmtId="0" fontId="16" fillId="32" borderId="0" xfId="57" applyFont="1" applyFill="1" applyBorder="1" quotePrefix="1">
      <alignment/>
      <protection/>
    </xf>
    <xf numFmtId="0" fontId="16" fillId="32" borderId="26" xfId="57" applyFont="1" applyFill="1" applyBorder="1" quotePrefix="1">
      <alignment/>
      <protection/>
    </xf>
    <xf numFmtId="0" fontId="16" fillId="32" borderId="20" xfId="57" applyFont="1" applyFill="1" applyBorder="1" quotePrefix="1">
      <alignment/>
      <protection/>
    </xf>
    <xf numFmtId="0" fontId="16" fillId="45" borderId="68" xfId="57" applyFont="1" applyFill="1" applyBorder="1" quotePrefix="1">
      <alignment/>
      <protection/>
    </xf>
    <xf numFmtId="0" fontId="16" fillId="45" borderId="19" xfId="57" applyFont="1" applyFill="1" applyBorder="1" quotePrefix="1">
      <alignment/>
      <protection/>
    </xf>
    <xf numFmtId="0" fontId="16" fillId="45" borderId="17" xfId="57" applyFont="1" applyFill="1" applyBorder="1" quotePrefix="1">
      <alignment/>
      <protection/>
    </xf>
    <xf numFmtId="0" fontId="16" fillId="45" borderId="0" xfId="57" applyFont="1" applyFill="1" applyBorder="1" quotePrefix="1">
      <alignment/>
      <protection/>
    </xf>
    <xf numFmtId="0" fontId="16" fillId="45" borderId="26" xfId="57" applyFont="1" applyFill="1" applyBorder="1" quotePrefix="1">
      <alignment/>
      <protection/>
    </xf>
    <xf numFmtId="0" fontId="16" fillId="45" borderId="20" xfId="57" applyFont="1" applyFill="1" applyBorder="1" quotePrefix="1">
      <alignment/>
      <protection/>
    </xf>
    <xf numFmtId="197" fontId="16" fillId="33" borderId="0" xfId="58" applyNumberFormat="1" applyFont="1" applyFill="1" applyBorder="1" applyAlignment="1">
      <alignment/>
      <protection/>
    </xf>
    <xf numFmtId="0" fontId="21" fillId="32" borderId="68" xfId="57" applyFont="1" applyFill="1" applyBorder="1">
      <alignment/>
      <protection/>
    </xf>
    <xf numFmtId="180" fontId="20" fillId="32" borderId="69" xfId="57" applyNumberFormat="1" applyFont="1" applyFill="1" applyBorder="1" applyAlignment="1">
      <alignment horizontal="center"/>
      <protection/>
    </xf>
    <xf numFmtId="180" fontId="20" fillId="33" borderId="0" xfId="57" applyNumberFormat="1" applyFont="1" applyFill="1" applyBorder="1" applyAlignment="1">
      <alignment horizontal="center"/>
      <protection/>
    </xf>
    <xf numFmtId="0" fontId="21" fillId="32" borderId="26" xfId="57" applyFont="1" applyFill="1" applyBorder="1">
      <alignment/>
      <protection/>
    </xf>
    <xf numFmtId="179" fontId="25" fillId="33" borderId="0" xfId="57" applyNumberFormat="1" applyFont="1" applyFill="1" applyBorder="1" applyAlignment="1">
      <alignment/>
      <protection/>
    </xf>
    <xf numFmtId="180" fontId="25" fillId="38" borderId="0" xfId="57" applyNumberFormat="1" applyFont="1" applyFill="1" applyBorder="1" applyAlignment="1">
      <alignment/>
      <protection/>
    </xf>
    <xf numFmtId="212" fontId="25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25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25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25" fillId="32" borderId="20" xfId="57" applyNumberFormat="1" applyFont="1" applyFill="1" applyBorder="1">
      <alignment/>
      <protection/>
    </xf>
    <xf numFmtId="178" fontId="25" fillId="32" borderId="20" xfId="57" applyNumberFormat="1" applyFont="1" applyFill="1" applyBorder="1" applyAlignment="1">
      <alignment horizontal="left"/>
      <protection/>
    </xf>
    <xf numFmtId="210" fontId="188" fillId="55" borderId="0" xfId="63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212" fontId="25" fillId="33" borderId="0" xfId="58" applyNumberFormat="1" applyFont="1" applyFill="1" applyBorder="1" applyAlignment="1">
      <alignment horizontal="left"/>
      <protection/>
    </xf>
    <xf numFmtId="181" fontId="25" fillId="32" borderId="0" xfId="57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178" fontId="25" fillId="32" borderId="0" xfId="57" applyNumberFormat="1" applyFont="1" applyFill="1" applyBorder="1" applyAlignment="1">
      <alignment horizontal="center"/>
      <protection/>
    </xf>
    <xf numFmtId="180" fontId="25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21" fillId="33" borderId="0" xfId="57" applyNumberFormat="1" applyFont="1" applyFill="1" applyBorder="1" applyAlignment="1">
      <alignment horizontal="left"/>
      <protection/>
    </xf>
    <xf numFmtId="180" fontId="25" fillId="38" borderId="0" xfId="57" applyNumberFormat="1" applyFont="1" applyFill="1" applyBorder="1" applyAlignment="1">
      <alignment horizontal="center"/>
      <protection/>
    </xf>
    <xf numFmtId="197" fontId="25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5" fillId="33" borderId="0" xfId="57" applyNumberFormat="1" applyFont="1" applyFill="1" applyBorder="1" applyAlignment="1">
      <alignment horizontal="center"/>
      <protection/>
    </xf>
    <xf numFmtId="179" fontId="25" fillId="45" borderId="0" xfId="57" applyNumberFormat="1" applyFont="1" applyFill="1" applyBorder="1" applyAlignment="1">
      <alignment horizontal="center"/>
      <protection/>
    </xf>
    <xf numFmtId="180" fontId="25" fillId="38" borderId="0" xfId="57" applyNumberFormat="1" applyFont="1" applyFill="1" applyBorder="1" applyAlignment="1">
      <alignment horizontal="left"/>
      <protection/>
    </xf>
    <xf numFmtId="201" fontId="59" fillId="45" borderId="20" xfId="58" applyNumberFormat="1" applyFont="1" applyFill="1" applyBorder="1" applyAlignment="1">
      <alignment horizontal="center"/>
      <protection/>
    </xf>
    <xf numFmtId="199" fontId="59" fillId="32" borderId="19" xfId="58" applyNumberFormat="1" applyFont="1" applyFill="1" applyBorder="1" applyAlignment="1">
      <alignment horizontal="center"/>
      <protection/>
    </xf>
    <xf numFmtId="200" fontId="59" fillId="32" borderId="0" xfId="58" applyNumberFormat="1" applyFont="1" applyFill="1" applyBorder="1" applyAlignment="1">
      <alignment horizontal="center"/>
      <protection/>
    </xf>
    <xf numFmtId="197" fontId="25" fillId="32" borderId="0" xfId="58" applyNumberFormat="1" applyFont="1" applyFill="1" applyBorder="1" applyAlignment="1">
      <alignment horizontal="center"/>
      <protection/>
    </xf>
    <xf numFmtId="181" fontId="25" fillId="45" borderId="0" xfId="57" applyNumberFormat="1" applyFont="1" applyFill="1" applyBorder="1" applyAlignment="1">
      <alignment horizontal="center"/>
      <protection/>
    </xf>
    <xf numFmtId="202" fontId="25" fillId="33" borderId="0" xfId="57" applyNumberFormat="1" applyFont="1" applyFill="1" applyBorder="1" applyAlignment="1">
      <alignment horizontal="center"/>
      <protection/>
    </xf>
    <xf numFmtId="199" fontId="59" fillId="45" borderId="19" xfId="58" applyNumberFormat="1" applyFont="1" applyFill="1" applyBorder="1" applyAlignment="1">
      <alignment horizontal="center"/>
      <protection/>
    </xf>
    <xf numFmtId="201" fontId="59" fillId="32" borderId="20" xfId="58" applyNumberFormat="1" applyFont="1" applyFill="1" applyBorder="1" applyAlignment="1">
      <alignment horizontal="center"/>
      <protection/>
    </xf>
    <xf numFmtId="197" fontId="25" fillId="45" borderId="0" xfId="58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left"/>
      <protection/>
    </xf>
    <xf numFmtId="205" fontId="59" fillId="45" borderId="0" xfId="58" applyNumberFormat="1" applyFont="1" applyFill="1" applyBorder="1" applyAlignment="1">
      <alignment horizontal="center"/>
      <protection/>
    </xf>
    <xf numFmtId="206" fontId="59" fillId="45" borderId="20" xfId="58" applyNumberFormat="1" applyFont="1" applyFill="1" applyBorder="1" applyAlignment="1">
      <alignment horizontal="center"/>
      <protection/>
    </xf>
    <xf numFmtId="204" fontId="59" fillId="45" borderId="19" xfId="58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left"/>
      <protection/>
    </xf>
    <xf numFmtId="212" fontId="25" fillId="33" borderId="0" xfId="58" applyNumberFormat="1" applyFont="1" applyFill="1" applyBorder="1" applyAlignment="1">
      <alignment horizontal="center"/>
      <protection/>
    </xf>
    <xf numFmtId="204" fontId="59" fillId="32" borderId="19" xfId="58" applyNumberFormat="1" applyFont="1" applyFill="1" applyBorder="1" applyAlignment="1">
      <alignment horizontal="center"/>
      <protection/>
    </xf>
    <xf numFmtId="200" fontId="59" fillId="45" borderId="0" xfId="58" applyNumberFormat="1" applyFont="1" applyFill="1" applyBorder="1" applyAlignment="1">
      <alignment horizontal="center"/>
      <protection/>
    </xf>
    <xf numFmtId="205" fontId="59" fillId="32" borderId="0" xfId="58" applyNumberFormat="1" applyFont="1" applyFill="1" applyBorder="1" applyAlignment="1">
      <alignment horizontal="center"/>
      <protection/>
    </xf>
    <xf numFmtId="206" fontId="59" fillId="32" borderId="20" xfId="58" applyNumberFormat="1" applyFont="1" applyFill="1" applyBorder="1" applyAlignment="1">
      <alignment horizontal="center"/>
      <protection/>
    </xf>
    <xf numFmtId="209" fontId="190" fillId="32" borderId="0" xfId="0" applyNumberFormat="1" applyFont="1" applyFill="1" applyAlignment="1" applyProtection="1">
      <alignment horizontal="center"/>
      <protection/>
    </xf>
    <xf numFmtId="209" fontId="190" fillId="54" borderId="0" xfId="0" applyNumberFormat="1" applyFont="1" applyFill="1" applyAlignment="1" applyProtection="1">
      <alignment horizontal="center"/>
      <protection/>
    </xf>
    <xf numFmtId="38" fontId="181" fillId="43" borderId="42" xfId="65" applyNumberFormat="1" applyFont="1" applyFill="1" applyBorder="1" applyAlignment="1" applyProtection="1">
      <alignment horizontal="center"/>
      <protection/>
    </xf>
    <xf numFmtId="38" fontId="181" fillId="43" borderId="43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1" fillId="45" borderId="28" xfId="57" applyNumberFormat="1" applyFont="1" applyFill="1" applyBorder="1" applyAlignment="1" applyProtection="1">
      <alignment horizontal="center" vertical="center"/>
      <protection locked="0"/>
    </xf>
    <xf numFmtId="188" fontId="191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21" fillId="45" borderId="42" xfId="65" applyNumberFormat="1" applyFont="1" applyFill="1" applyBorder="1" applyAlignment="1" applyProtection="1">
      <alignment horizontal="center"/>
      <protection/>
    </xf>
    <xf numFmtId="38" fontId="21" fillId="45" borderId="43" xfId="65" applyNumberFormat="1" applyFont="1" applyFill="1" applyBorder="1" applyAlignment="1" applyProtection="1">
      <alignment horizontal="center"/>
      <protection/>
    </xf>
    <xf numFmtId="38" fontId="21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16" fillId="33" borderId="60" xfId="65" applyNumberFormat="1" applyFont="1" applyFill="1" applyBorder="1" applyAlignment="1" applyProtection="1">
      <alignment horizontal="center"/>
      <protection/>
    </xf>
    <xf numFmtId="38" fontId="16" fillId="33" borderId="49" xfId="65" applyNumberFormat="1" applyFont="1" applyFill="1" applyBorder="1" applyAlignment="1" applyProtection="1">
      <alignment horizontal="center"/>
      <protection/>
    </xf>
    <xf numFmtId="38" fontId="16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2" fillId="46" borderId="65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5" fillId="43" borderId="51" xfId="65" applyNumberFormat="1" applyFont="1" applyFill="1" applyBorder="1" applyAlignment="1" applyProtection="1">
      <alignment horizontal="center"/>
      <protection/>
    </xf>
    <xf numFmtId="38" fontId="25" fillId="43" borderId="53" xfId="65" applyNumberFormat="1" applyFont="1" applyFill="1" applyBorder="1" applyAlignment="1" applyProtection="1">
      <alignment horizontal="center"/>
      <protection/>
    </xf>
    <xf numFmtId="38" fontId="25" fillId="43" borderId="54" xfId="65" applyNumberFormat="1" applyFont="1" applyFill="1" applyBorder="1" applyAlignment="1" applyProtection="1">
      <alignment horizontal="center"/>
      <protection/>
    </xf>
    <xf numFmtId="38" fontId="25" fillId="43" borderId="59" xfId="65" applyNumberFormat="1" applyFont="1" applyFill="1" applyBorder="1" applyAlignment="1" applyProtection="1">
      <alignment horizontal="center"/>
      <protection/>
    </xf>
    <xf numFmtId="38" fontId="25" fillId="43" borderId="47" xfId="65" applyNumberFormat="1" applyFont="1" applyFill="1" applyBorder="1" applyAlignment="1" applyProtection="1">
      <alignment horizontal="center"/>
      <protection/>
    </xf>
    <xf numFmtId="38" fontId="25" fillId="43" borderId="48" xfId="65" applyNumberFormat="1" applyFont="1" applyFill="1" applyBorder="1" applyAlignment="1" applyProtection="1">
      <alignment horizontal="center"/>
      <protection/>
    </xf>
    <xf numFmtId="38" fontId="25" fillId="43" borderId="60" xfId="65" applyNumberFormat="1" applyFont="1" applyFill="1" applyBorder="1" applyAlignment="1" applyProtection="1">
      <alignment horizontal="center"/>
      <protection/>
    </xf>
    <xf numFmtId="38" fontId="25" fillId="43" borderId="49" xfId="65" applyNumberFormat="1" applyFont="1" applyFill="1" applyBorder="1" applyAlignment="1" applyProtection="1">
      <alignment horizontal="center"/>
      <protection/>
    </xf>
    <xf numFmtId="38" fontId="25" fillId="43" borderId="50" xfId="65" applyNumberFormat="1" applyFont="1" applyFill="1" applyBorder="1" applyAlignment="1" applyProtection="1">
      <alignment horizontal="center"/>
      <protection/>
    </xf>
    <xf numFmtId="38" fontId="25" fillId="54" borderId="42" xfId="65" applyNumberFormat="1" applyFont="1" applyFill="1" applyBorder="1" applyAlignment="1" applyProtection="1">
      <alignment horizontal="center"/>
      <protection/>
    </xf>
    <xf numFmtId="38" fontId="25" fillId="54" borderId="43" xfId="65" applyNumberFormat="1" applyFont="1" applyFill="1" applyBorder="1" applyAlignment="1" applyProtection="1">
      <alignment horizontal="center"/>
      <protection/>
    </xf>
    <xf numFmtId="38" fontId="25" fillId="54" borderId="44" xfId="65" applyNumberFormat="1" applyFont="1" applyFill="1" applyBorder="1" applyAlignment="1" applyProtection="1">
      <alignment horizontal="center"/>
      <protection/>
    </xf>
    <xf numFmtId="0" fontId="192" fillId="33" borderId="61" xfId="61" applyFont="1" applyFill="1" applyBorder="1" applyAlignment="1" applyProtection="1">
      <alignment horizontal="center"/>
      <protection/>
    </xf>
    <xf numFmtId="0" fontId="192" fillId="33" borderId="0" xfId="61" applyFont="1" applyFill="1" applyBorder="1" applyAlignment="1" applyProtection="1">
      <alignment horizontal="center"/>
      <protection/>
    </xf>
    <xf numFmtId="0" fontId="192" fillId="33" borderId="30" xfId="61" applyFont="1" applyFill="1" applyBorder="1" applyAlignment="1" applyProtection="1">
      <alignment horizontal="center"/>
      <protection/>
    </xf>
    <xf numFmtId="0" fontId="168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7" fontId="193" fillId="32" borderId="0" xfId="60" applyNumberFormat="1" applyFont="1" applyFill="1" applyBorder="1" applyAlignment="1" applyProtection="1">
      <alignment horizontal="center"/>
      <protection/>
    </xf>
    <xf numFmtId="0" fontId="152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2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2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28" xfId="53" applyFill="1" applyBorder="1" applyAlignment="1" applyProtection="1">
      <alignment horizontal="center" vertical="center"/>
      <protection locked="0"/>
    </xf>
    <xf numFmtId="0" fontId="194" fillId="36" borderId="43" xfId="53" applyFont="1" applyFill="1" applyBorder="1" applyAlignment="1" applyProtection="1">
      <alignment horizontal="center" vertical="center"/>
      <protection locked="0"/>
    </xf>
    <xf numFmtId="0" fontId="194" fillId="36" borderId="29" xfId="53" applyFont="1" applyFill="1" applyBorder="1" applyAlignment="1" applyProtection="1">
      <alignment horizontal="center" vertical="center"/>
      <protection locked="0"/>
    </xf>
    <xf numFmtId="38" fontId="144" fillId="33" borderId="28" xfId="53" applyNumberFormat="1" applyFill="1" applyBorder="1" applyAlignment="1" applyProtection="1">
      <alignment horizontal="center" vertical="center"/>
      <protection locked="0"/>
    </xf>
    <xf numFmtId="38" fontId="195" fillId="33" borderId="43" xfId="53" applyNumberFormat="1" applyFont="1" applyFill="1" applyBorder="1" applyAlignment="1" applyProtection="1">
      <alignment horizontal="center" vertical="center"/>
      <protection locked="0"/>
    </xf>
    <xf numFmtId="38" fontId="195" fillId="33" borderId="29" xfId="53" applyNumberFormat="1" applyFont="1" applyFill="1" applyBorder="1" applyAlignment="1" applyProtection="1">
      <alignment horizontal="center" vertical="center"/>
      <protection locked="0"/>
    </xf>
    <xf numFmtId="0" fontId="196" fillId="32" borderId="0" xfId="60" applyFont="1" applyFill="1" applyBorder="1" applyAlignment="1" applyProtection="1">
      <alignment horizontal="center"/>
      <protection/>
    </xf>
    <xf numFmtId="187" fontId="159" fillId="33" borderId="28" xfId="60" applyNumberFormat="1" applyFont="1" applyFill="1" applyBorder="1" applyAlignment="1" applyProtection="1">
      <alignment horizontal="center"/>
      <protection/>
    </xf>
    <xf numFmtId="187" fontId="159" fillId="33" borderId="43" xfId="60" applyNumberFormat="1" applyFont="1" applyFill="1" applyBorder="1" applyAlignment="1" applyProtection="1">
      <alignment horizontal="center"/>
      <protection/>
    </xf>
    <xf numFmtId="187" fontId="159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7" fillId="32" borderId="45" xfId="57" applyFont="1" applyFill="1" applyBorder="1" applyAlignment="1" applyProtection="1" quotePrefix="1">
      <alignment horizontal="center"/>
      <protection/>
    </xf>
    <xf numFmtId="0" fontId="198" fillId="38" borderId="26" xfId="64" applyFont="1" applyFill="1" applyBorder="1" applyAlignment="1" applyProtection="1">
      <alignment horizontal="center" vertical="center" wrapText="1"/>
      <protection locked="0"/>
    </xf>
    <xf numFmtId="0" fontId="198" fillId="38" borderId="20" xfId="64" applyFont="1" applyFill="1" applyBorder="1" applyAlignment="1" applyProtection="1">
      <alignment horizontal="center" vertical="center" wrapText="1"/>
      <protection locked="0"/>
    </xf>
    <xf numFmtId="0" fontId="198" fillId="38" borderId="21" xfId="64" applyFont="1" applyFill="1" applyBorder="1" applyAlignment="1" applyProtection="1">
      <alignment horizontal="center" vertical="center" wrapText="1"/>
      <protection locked="0"/>
    </xf>
    <xf numFmtId="208" fontId="199" fillId="48" borderId="43" xfId="65" applyNumberFormat="1" applyFont="1" applyFill="1" applyBorder="1" applyAlignment="1" applyProtection="1">
      <alignment horizontal="left"/>
      <protection/>
    </xf>
    <xf numFmtId="208" fontId="199" fillId="48" borderId="29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11" fontId="188" fillId="55" borderId="0" xfId="57" applyNumberFormat="1" applyFont="1" applyFill="1" applyAlignment="1" applyProtection="1" quotePrefix="1">
      <alignment horizontal="center"/>
      <protection/>
    </xf>
    <xf numFmtId="38" fontId="16" fillId="33" borderId="62" xfId="65" applyNumberFormat="1" applyFont="1" applyFill="1" applyBorder="1" applyAlignment="1" applyProtection="1">
      <alignment horizontal="center" wrapText="1"/>
      <protection/>
    </xf>
    <xf numFmtId="38" fontId="16" fillId="33" borderId="45" xfId="65" applyNumberFormat="1" applyFont="1" applyFill="1" applyBorder="1" applyAlignment="1" applyProtection="1">
      <alignment horizontal="center"/>
      <protection/>
    </xf>
    <xf numFmtId="38" fontId="16" fillId="33" borderId="46" xfId="65" applyNumberFormat="1" applyFont="1" applyFill="1" applyBorder="1" applyAlignment="1" applyProtection="1">
      <alignment horizontal="center"/>
      <protection/>
    </xf>
    <xf numFmtId="38" fontId="16" fillId="33" borderId="59" xfId="65" applyNumberFormat="1" applyFont="1" applyFill="1" applyBorder="1" applyAlignment="1" applyProtection="1">
      <alignment horizontal="center" wrapText="1"/>
      <protection/>
    </xf>
    <xf numFmtId="38" fontId="200" fillId="33" borderId="47" xfId="65" applyNumberFormat="1" applyFont="1" applyFill="1" applyBorder="1" applyAlignment="1" applyProtection="1">
      <alignment horizontal="center"/>
      <protection/>
    </xf>
    <xf numFmtId="38" fontId="200" fillId="33" borderId="48" xfId="65" applyNumberFormat="1" applyFont="1" applyFill="1" applyBorder="1" applyAlignment="1" applyProtection="1">
      <alignment horizontal="center"/>
      <protection/>
    </xf>
    <xf numFmtId="38" fontId="16" fillId="33" borderId="60" xfId="65" applyNumberFormat="1" applyFont="1" applyFill="1" applyBorder="1" applyAlignment="1" applyProtection="1">
      <alignment horizontal="center" wrapText="1"/>
      <protection/>
    </xf>
    <xf numFmtId="38" fontId="200" fillId="33" borderId="49" xfId="65" applyNumberFormat="1" applyFont="1" applyFill="1" applyBorder="1" applyAlignment="1" applyProtection="1">
      <alignment horizontal="center"/>
      <protection/>
    </xf>
    <xf numFmtId="38" fontId="200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3" fillId="33" borderId="0" xfId="60" applyNumberFormat="1" applyFont="1" applyFill="1" applyBorder="1" applyAlignment="1" applyProtection="1">
      <alignment horizontal="center"/>
      <protection/>
    </xf>
    <xf numFmtId="0" fontId="197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2" fillId="33" borderId="116" xfId="61" applyFont="1" applyFill="1" applyBorder="1" applyAlignment="1" applyProtection="1">
      <alignment horizontal="center"/>
      <protection/>
    </xf>
    <xf numFmtId="0" fontId="192" fillId="33" borderId="135" xfId="61" applyFont="1" applyFill="1" applyBorder="1" applyAlignment="1" applyProtection="1">
      <alignment horizontal="center"/>
      <protection/>
    </xf>
    <xf numFmtId="210" fontId="201" fillId="55" borderId="0" xfId="57" applyNumberFormat="1" applyFont="1" applyFill="1" applyAlignment="1" applyProtection="1" quotePrefix="1">
      <alignment horizontal="center"/>
      <protection/>
    </xf>
    <xf numFmtId="0" fontId="21" fillId="36" borderId="133" xfId="64" applyFont="1" applyFill="1" applyBorder="1" applyAlignment="1" applyProtection="1" quotePrefix="1">
      <alignment horizontal="center" wrapText="1"/>
      <protection/>
    </xf>
    <xf numFmtId="0" fontId="21" fillId="36" borderId="53" xfId="64" applyFont="1" applyFill="1" applyBorder="1" applyAlignment="1" applyProtection="1">
      <alignment horizontal="center" wrapText="1"/>
      <protection/>
    </xf>
    <xf numFmtId="0" fontId="21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1" fillId="45" borderId="28" xfId="57" applyNumberFormat="1" applyFont="1" applyFill="1" applyBorder="1" applyAlignment="1" applyProtection="1">
      <alignment horizontal="center" vertical="center"/>
      <protection/>
    </xf>
    <xf numFmtId="188" fontId="191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2" fillId="36" borderId="28" xfId="53" applyFont="1" applyFill="1" applyBorder="1" applyAlignment="1" applyProtection="1">
      <alignment horizontal="center" vertical="center"/>
      <protection/>
    </xf>
    <xf numFmtId="0" fontId="202" fillId="36" borderId="43" xfId="53" applyFont="1" applyFill="1" applyBorder="1" applyAlignment="1" applyProtection="1">
      <alignment horizontal="center" vertical="center"/>
      <protection/>
    </xf>
    <xf numFmtId="0" fontId="202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90" zoomScaleNormal="90" zoomScalePageLayoutView="0" workbookViewId="0" topLeftCell="A1">
      <pane xSplit="5" ySplit="11" topLeftCell="H124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V149" sqref="V14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695025</v>
      </c>
      <c r="J1" s="754"/>
      <c r="K1" s="427"/>
      <c r="L1" s="435" t="s">
        <v>245</v>
      </c>
      <c r="M1" s="431">
        <v>300</v>
      </c>
      <c r="N1" s="427"/>
      <c r="O1" s="435" t="s">
        <v>239</v>
      </c>
      <c r="P1" s="452"/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 t="s">
        <v>456</v>
      </c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МИНИСТЕРСКИ СЪВЕТ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352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30.09.2023 г.</v>
      </c>
      <c r="G11" s="396">
        <f>+P5-1</f>
        <v>2022</v>
      </c>
      <c r="H11" s="15"/>
      <c r="I11" s="589" t="str">
        <f>+O8</f>
        <v>30.09.2023 г.</v>
      </c>
      <c r="J11" s="397">
        <f>+P5-1</f>
        <v>2022</v>
      </c>
      <c r="K11" s="16"/>
      <c r="L11" s="590" t="str">
        <f>+O8</f>
        <v>30.09.2023 г.</v>
      </c>
      <c r="M11" s="398">
        <f>+P5-1</f>
        <v>2022</v>
      </c>
      <c r="N11" s="16"/>
      <c r="O11" s="591" t="str">
        <f>+O8</f>
        <v>30.09.2023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839292</v>
      </c>
      <c r="G16" s="233">
        <v>1000865</v>
      </c>
      <c r="H16" s="15"/>
      <c r="I16" s="234"/>
      <c r="J16" s="233"/>
      <c r="K16" s="227"/>
      <c r="L16" s="234"/>
      <c r="M16" s="233"/>
      <c r="N16" s="227"/>
      <c r="O16" s="361">
        <f t="shared" si="0"/>
        <v>839292</v>
      </c>
      <c r="P16" s="384">
        <f t="shared" si="0"/>
        <v>1000865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54358</v>
      </c>
      <c r="G18" s="229">
        <v>291007</v>
      </c>
      <c r="H18" s="15"/>
      <c r="I18" s="230"/>
      <c r="J18" s="229"/>
      <c r="K18" s="227"/>
      <c r="L18" s="230"/>
      <c r="M18" s="229"/>
      <c r="N18" s="227"/>
      <c r="O18" s="365">
        <f t="shared" si="0"/>
        <v>54358</v>
      </c>
      <c r="P18" s="378">
        <f t="shared" si="0"/>
        <v>291007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2548950</v>
      </c>
      <c r="G19" s="231">
        <v>2853353</v>
      </c>
      <c r="H19" s="15"/>
      <c r="I19" s="232"/>
      <c r="J19" s="231"/>
      <c r="K19" s="227"/>
      <c r="L19" s="232"/>
      <c r="M19" s="231"/>
      <c r="N19" s="227"/>
      <c r="O19" s="360">
        <f t="shared" si="0"/>
        <v>2548950</v>
      </c>
      <c r="P19" s="412">
        <f t="shared" si="0"/>
        <v>2853353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2094984</v>
      </c>
      <c r="G20" s="231">
        <v>2600938</v>
      </c>
      <c r="H20" s="15"/>
      <c r="I20" s="232"/>
      <c r="J20" s="231"/>
      <c r="K20" s="227"/>
      <c r="L20" s="232"/>
      <c r="M20" s="231"/>
      <c r="N20" s="227"/>
      <c r="O20" s="360">
        <f t="shared" si="0"/>
        <v>2094984</v>
      </c>
      <c r="P20" s="412">
        <f t="shared" si="0"/>
        <v>2600938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861360</v>
      </c>
      <c r="G21" s="231">
        <v>1651851</v>
      </c>
      <c r="H21" s="15"/>
      <c r="I21" s="232"/>
      <c r="J21" s="231"/>
      <c r="K21" s="227"/>
      <c r="L21" s="232"/>
      <c r="M21" s="231"/>
      <c r="N21" s="227"/>
      <c r="O21" s="360">
        <f t="shared" si="0"/>
        <v>861360</v>
      </c>
      <c r="P21" s="412">
        <f t="shared" si="0"/>
        <v>1651851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34</v>
      </c>
      <c r="G22" s="231">
        <v>356</v>
      </c>
      <c r="H22" s="15"/>
      <c r="I22" s="232">
        <v>20</v>
      </c>
      <c r="J22" s="231">
        <v>3</v>
      </c>
      <c r="K22" s="227"/>
      <c r="L22" s="232"/>
      <c r="M22" s="231">
        <v>0</v>
      </c>
      <c r="N22" s="227"/>
      <c r="O22" s="360">
        <f t="shared" si="0"/>
        <v>54</v>
      </c>
      <c r="P22" s="412">
        <f t="shared" si="0"/>
        <v>359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>
        <v>0</v>
      </c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347976</v>
      </c>
      <c r="G24" s="233">
        <v>172801</v>
      </c>
      <c r="H24" s="15"/>
      <c r="I24" s="234"/>
      <c r="J24" s="233"/>
      <c r="K24" s="227"/>
      <c r="L24" s="234"/>
      <c r="M24" s="233"/>
      <c r="N24" s="227"/>
      <c r="O24" s="361">
        <f t="shared" si="0"/>
        <v>347976</v>
      </c>
      <c r="P24" s="384">
        <f t="shared" si="0"/>
        <v>172801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6746954</v>
      </c>
      <c r="G25" s="235">
        <f>+ROUND(+SUM(G15,G16,G18,G19,G20,G21,G22,G23,G24),0)</f>
        <v>8571171</v>
      </c>
      <c r="H25" s="15"/>
      <c r="I25" s="236">
        <f>+ROUND(+SUM(I15,I16,I18,I19,I20,I21,I22,I23,I24),0)</f>
        <v>20</v>
      </c>
      <c r="J25" s="235">
        <f>+ROUND(+SUM(J15,J16,J18,J19,J20,J21,J22,J23,J24),0)</f>
        <v>3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6746974</v>
      </c>
      <c r="P25" s="363">
        <f>+ROUND(+SUM(P15,P16,P18,P19,P20,P21,P22,P23,P24),0)</f>
        <v>8571174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1720615</v>
      </c>
      <c r="G27" s="229">
        <v>2948000</v>
      </c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1720615</v>
      </c>
      <c r="P27" s="378">
        <f t="shared" si="1"/>
        <v>2948000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1472740</v>
      </c>
      <c r="G28" s="231">
        <v>1139369</v>
      </c>
      <c r="H28" s="15"/>
      <c r="I28" s="232"/>
      <c r="J28" s="231"/>
      <c r="K28" s="227"/>
      <c r="L28" s="232"/>
      <c r="M28" s="231"/>
      <c r="N28" s="227"/>
      <c r="O28" s="360">
        <f t="shared" si="1"/>
        <v>1472740</v>
      </c>
      <c r="P28" s="412">
        <f t="shared" si="1"/>
        <v>1139369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3193355</v>
      </c>
      <c r="G30" s="235">
        <f>+ROUND(+SUM(G27:G29),0)</f>
        <v>4087369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3193355</v>
      </c>
      <c r="P30" s="363">
        <f>+ROUND(+SUM(P27:P29),0)</f>
        <v>4087369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-3096065</v>
      </c>
      <c r="G37" s="247">
        <v>-3558901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-3096065</v>
      </c>
      <c r="P37" s="363">
        <f t="shared" si="2"/>
        <v>-3558901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-2639591</v>
      </c>
      <c r="G38" s="249">
        <v>-2702426</v>
      </c>
      <c r="H38" s="15"/>
      <c r="I38" s="250"/>
      <c r="J38" s="249"/>
      <c r="K38" s="227"/>
      <c r="L38" s="250"/>
      <c r="M38" s="249"/>
      <c r="N38" s="227"/>
      <c r="O38" s="375">
        <f t="shared" si="2"/>
        <v>-2639591</v>
      </c>
      <c r="P38" s="413">
        <f t="shared" si="2"/>
        <v>-2702426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-408156</v>
      </c>
      <c r="G39" s="251">
        <v>-808322</v>
      </c>
      <c r="H39" s="15"/>
      <c r="I39" s="252"/>
      <c r="J39" s="251"/>
      <c r="K39" s="227"/>
      <c r="L39" s="252"/>
      <c r="M39" s="251"/>
      <c r="N39" s="227"/>
      <c r="O39" s="376">
        <f t="shared" si="2"/>
        <v>-408156</v>
      </c>
      <c r="P39" s="414">
        <f t="shared" si="2"/>
        <v>-808322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-48318</v>
      </c>
      <c r="G40" s="253">
        <v>-48153</v>
      </c>
      <c r="H40" s="15"/>
      <c r="I40" s="254"/>
      <c r="J40" s="253"/>
      <c r="K40" s="227"/>
      <c r="L40" s="254"/>
      <c r="M40" s="253"/>
      <c r="N40" s="227"/>
      <c r="O40" s="377">
        <f t="shared" si="2"/>
        <v>-48318</v>
      </c>
      <c r="P40" s="415">
        <f t="shared" si="2"/>
        <v>-48153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5279</v>
      </c>
      <c r="G42" s="247">
        <v>24855</v>
      </c>
      <c r="H42" s="15"/>
      <c r="I42" s="248"/>
      <c r="J42" s="247"/>
      <c r="K42" s="227"/>
      <c r="L42" s="248"/>
      <c r="M42" s="247"/>
      <c r="N42" s="227"/>
      <c r="O42" s="362">
        <f>+ROUND(+F42+I42+L42,0)</f>
        <v>5279</v>
      </c>
      <c r="P42" s="363">
        <f>+ROUND(+G42+J42+M42,0)</f>
        <v>24855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>
        <v>489507</v>
      </c>
      <c r="J44" s="229">
        <v>3105114</v>
      </c>
      <c r="K44" s="227"/>
      <c r="L44" s="230"/>
      <c r="M44" s="229"/>
      <c r="N44" s="227"/>
      <c r="O44" s="365">
        <f aca="true" t="shared" si="3" ref="O44:P47">+ROUND(+F44+I44+L44,0)</f>
        <v>489507</v>
      </c>
      <c r="P44" s="378">
        <f t="shared" si="3"/>
        <v>3105114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58050</v>
      </c>
      <c r="G45" s="231"/>
      <c r="H45" s="15"/>
      <c r="I45" s="232"/>
      <c r="J45" s="231">
        <v>44734</v>
      </c>
      <c r="K45" s="227"/>
      <c r="L45" s="232"/>
      <c r="M45" s="231"/>
      <c r="N45" s="227"/>
      <c r="O45" s="360">
        <f t="shared" si="3"/>
        <v>58050</v>
      </c>
      <c r="P45" s="412">
        <f t="shared" si="3"/>
        <v>44734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>
        <v>20715</v>
      </c>
      <c r="K46" s="227"/>
      <c r="L46" s="232"/>
      <c r="M46" s="231"/>
      <c r="N46" s="227"/>
      <c r="O46" s="360">
        <f t="shared" si="3"/>
        <v>0</v>
      </c>
      <c r="P46" s="412">
        <f t="shared" si="3"/>
        <v>20715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112800</v>
      </c>
      <c r="G47" s="233">
        <v>80994</v>
      </c>
      <c r="H47" s="15"/>
      <c r="I47" s="234"/>
      <c r="J47" s="233"/>
      <c r="K47" s="227"/>
      <c r="L47" s="234"/>
      <c r="M47" s="233"/>
      <c r="N47" s="227"/>
      <c r="O47" s="361">
        <f t="shared" si="3"/>
        <v>112800</v>
      </c>
      <c r="P47" s="384">
        <f t="shared" si="3"/>
        <v>80994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170850</v>
      </c>
      <c r="G48" s="235">
        <f>+ROUND(+SUM(G44:G47),0)</f>
        <v>80994</v>
      </c>
      <c r="H48" s="15"/>
      <c r="I48" s="236">
        <f>+ROUND(+SUM(I44:I47),0)</f>
        <v>489507</v>
      </c>
      <c r="J48" s="235">
        <f>+ROUND(+SUM(J44:J47),0)</f>
        <v>3170563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660357</v>
      </c>
      <c r="P48" s="363">
        <f>+ROUND(+SUM(P44:P47),0)</f>
        <v>3251557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7020373</v>
      </c>
      <c r="G50" s="257">
        <f>+ROUND(G25+G30+G37+G42+G48,0)</f>
        <v>9205488</v>
      </c>
      <c r="H50" s="15"/>
      <c r="I50" s="258">
        <f>+ROUND(I25+I30+I37+I42+I48,0)</f>
        <v>489527</v>
      </c>
      <c r="J50" s="257">
        <f>+ROUND(J25+J30+J37+J42+J48,0)</f>
        <v>3170566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7509900</v>
      </c>
      <c r="P50" s="380">
        <f>+ROUND(P25+P30+P37+P42+P48,0)</f>
        <v>12376054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16330833</v>
      </c>
      <c r="G53" s="259">
        <v>34219176</v>
      </c>
      <c r="H53" s="15"/>
      <c r="I53" s="260">
        <f>4735412+441157+1116894</f>
        <v>6293463</v>
      </c>
      <c r="J53" s="259">
        <v>8832221</v>
      </c>
      <c r="K53" s="227"/>
      <c r="L53" s="260"/>
      <c r="M53" s="259"/>
      <c r="N53" s="227"/>
      <c r="O53" s="366">
        <f aca="true" t="shared" si="4" ref="O53:P57">+ROUND(+F53+I53+L53,0)</f>
        <v>22624296</v>
      </c>
      <c r="P53" s="359">
        <f t="shared" si="4"/>
        <v>43051397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216439</v>
      </c>
      <c r="G54" s="233">
        <v>331299</v>
      </c>
      <c r="H54" s="15"/>
      <c r="I54" s="234">
        <f>-8+18+2005</f>
        <v>2015</v>
      </c>
      <c r="J54" s="233">
        <v>6427</v>
      </c>
      <c r="K54" s="227"/>
      <c r="L54" s="234"/>
      <c r="M54" s="233"/>
      <c r="N54" s="227"/>
      <c r="O54" s="361">
        <f t="shared" si="4"/>
        <v>218454</v>
      </c>
      <c r="P54" s="384">
        <f t="shared" si="4"/>
        <v>337726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2471034</v>
      </c>
      <c r="G55" s="233">
        <v>1900421</v>
      </c>
      <c r="H55" s="15"/>
      <c r="I55" s="234"/>
      <c r="J55" s="233">
        <v>0</v>
      </c>
      <c r="K55" s="227"/>
      <c r="L55" s="234"/>
      <c r="M55" s="233"/>
      <c r="N55" s="227"/>
      <c r="O55" s="361">
        <f t="shared" si="4"/>
        <v>2471034</v>
      </c>
      <c r="P55" s="384">
        <f t="shared" si="4"/>
        <v>1900421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46533294</v>
      </c>
      <c r="G56" s="233">
        <v>56197431</v>
      </c>
      <c r="H56" s="15"/>
      <c r="I56" s="234">
        <f>185223+48148+3565523</f>
        <v>3798894</v>
      </c>
      <c r="J56" s="233">
        <v>5849968</v>
      </c>
      <c r="K56" s="227"/>
      <c r="L56" s="234"/>
      <c r="M56" s="233"/>
      <c r="N56" s="227"/>
      <c r="O56" s="361">
        <f t="shared" si="4"/>
        <v>50332188</v>
      </c>
      <c r="P56" s="384">
        <f t="shared" si="4"/>
        <v>62047399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10987411</v>
      </c>
      <c r="G57" s="233">
        <v>13038962</v>
      </c>
      <c r="H57" s="15"/>
      <c r="I57" s="234">
        <f>25727+5462+795944</f>
        <v>827133</v>
      </c>
      <c r="J57" s="233">
        <v>1282716</v>
      </c>
      <c r="K57" s="227"/>
      <c r="L57" s="234"/>
      <c r="M57" s="233"/>
      <c r="N57" s="227"/>
      <c r="O57" s="361">
        <f t="shared" si="4"/>
        <v>11814544</v>
      </c>
      <c r="P57" s="384">
        <f t="shared" si="4"/>
        <v>14321678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76539011</v>
      </c>
      <c r="G58" s="261">
        <f>+ROUND(+SUM(G53:G57),0)</f>
        <v>105687289</v>
      </c>
      <c r="H58" s="15"/>
      <c r="I58" s="262">
        <f>+ROUND(+SUM(I53:I57),0)</f>
        <v>10921505</v>
      </c>
      <c r="J58" s="261">
        <f>+ROUND(+SUM(J53:J57),0)</f>
        <v>15971332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87460516</v>
      </c>
      <c r="P58" s="382">
        <f>+ROUND(+SUM(P53:P57),0)</f>
        <v>121658621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>
        <v>1952483</v>
      </c>
      <c r="H60" s="15"/>
      <c r="I60" s="260"/>
      <c r="J60" s="259">
        <v>0</v>
      </c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1952483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988080</v>
      </c>
      <c r="G61" s="233">
        <v>8984989</v>
      </c>
      <c r="H61" s="15"/>
      <c r="I61" s="234">
        <f>75917+33830+705829</f>
        <v>815576</v>
      </c>
      <c r="J61" s="233">
        <v>541677</v>
      </c>
      <c r="K61" s="227"/>
      <c r="L61" s="234"/>
      <c r="M61" s="233"/>
      <c r="N61" s="227"/>
      <c r="O61" s="361">
        <f t="shared" si="5"/>
        <v>1803656</v>
      </c>
      <c r="P61" s="384">
        <f t="shared" si="5"/>
        <v>9526666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87979</v>
      </c>
      <c r="G62" s="233">
        <v>435217</v>
      </c>
      <c r="H62" s="15"/>
      <c r="I62" s="234">
        <f>540+3187947</f>
        <v>3188487</v>
      </c>
      <c r="J62" s="233">
        <v>3549077</v>
      </c>
      <c r="K62" s="227"/>
      <c r="L62" s="234"/>
      <c r="M62" s="233"/>
      <c r="N62" s="227"/>
      <c r="O62" s="361">
        <f t="shared" si="5"/>
        <v>3276466</v>
      </c>
      <c r="P62" s="384">
        <f t="shared" si="5"/>
        <v>3984294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1076059</v>
      </c>
      <c r="G65" s="261">
        <f>+ROUND(+SUM(G60:G63),0)</f>
        <v>11372689</v>
      </c>
      <c r="H65" s="15"/>
      <c r="I65" s="262">
        <f>+ROUND(+SUM(I60:I63),0)</f>
        <v>4004063</v>
      </c>
      <c r="J65" s="261">
        <f>+ROUND(+SUM(J60:J63),0)</f>
        <v>4090754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5080122</v>
      </c>
      <c r="P65" s="382">
        <f>+ROUND(+SUM(P60:P63),0)</f>
        <v>15463443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114541</v>
      </c>
      <c r="G71" s="259">
        <v>254889</v>
      </c>
      <c r="H71" s="15"/>
      <c r="I71" s="260"/>
      <c r="J71" s="259"/>
      <c r="K71" s="227"/>
      <c r="L71" s="260"/>
      <c r="M71" s="259"/>
      <c r="N71" s="227"/>
      <c r="O71" s="366">
        <f>+ROUND(+F71+I71+L71,0)</f>
        <v>114541</v>
      </c>
      <c r="P71" s="359">
        <f>+ROUND(+G71+J71+M71,0)</f>
        <v>254889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114541</v>
      </c>
      <c r="G73" s="261">
        <f>+ROUND(+SUM(G71:G72),0)</f>
        <v>254889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114541</v>
      </c>
      <c r="P73" s="382">
        <f>+ROUND(+SUM(P71:P72),0)</f>
        <v>254889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29988689</v>
      </c>
      <c r="G75" s="259">
        <v>94634174</v>
      </c>
      <c r="H75" s="15"/>
      <c r="I75" s="260">
        <v>17129</v>
      </c>
      <c r="J75" s="259"/>
      <c r="K75" s="227"/>
      <c r="L75" s="260"/>
      <c r="M75" s="259"/>
      <c r="N75" s="227"/>
      <c r="O75" s="366">
        <f>+ROUND(+F75+I75+L75,0)</f>
        <v>30005818</v>
      </c>
      <c r="P75" s="359">
        <f>+ROUND(+G75+J75+M75,0)</f>
        <v>94634174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>
        <v>14365000</v>
      </c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14365000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29988689</v>
      </c>
      <c r="G77" s="261">
        <f>+ROUND(+SUM(G75:G76),0)</f>
        <v>108999174</v>
      </c>
      <c r="H77" s="15"/>
      <c r="I77" s="262">
        <f>+ROUND(+SUM(I75:I76),0)</f>
        <v>17129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30005818</v>
      </c>
      <c r="P77" s="382">
        <f>+ROUND(+SUM(P75:P76),0)</f>
        <v>108999174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107718300</v>
      </c>
      <c r="G79" s="272">
        <f>+ROUND(G58+G65+G69+G73+G77,0)</f>
        <v>226314041</v>
      </c>
      <c r="H79" s="15"/>
      <c r="I79" s="269">
        <f>+ROUND(I58+I65+I69+I73+I77,0)</f>
        <v>14942697</v>
      </c>
      <c r="J79" s="272">
        <f>+ROUND(J58+J65+J69+J73+J77,0)</f>
        <v>20062086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122660997</v>
      </c>
      <c r="P79" s="392">
        <f>+ROUND(P58+P65+P69+P73+P77,0)</f>
        <v>246376127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100532305</v>
      </c>
      <c r="G81" s="229">
        <v>265623505</v>
      </c>
      <c r="H81" s="15"/>
      <c r="I81" s="230">
        <f>5954275+331073+8598341</f>
        <v>14883689</v>
      </c>
      <c r="J81" s="229">
        <v>13437634</v>
      </c>
      <c r="K81" s="227"/>
      <c r="L81" s="230"/>
      <c r="M81" s="229"/>
      <c r="N81" s="227"/>
      <c r="O81" s="365">
        <f>+ROUND(+F81+I81+L81,0)</f>
        <v>115415994</v>
      </c>
      <c r="P81" s="378">
        <f>+ROUND(+G81+J81+M81,0)</f>
        <v>279061139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100532305</v>
      </c>
      <c r="G83" s="270">
        <f>+ROUND(G81+G82,0)</f>
        <v>265623505</v>
      </c>
      <c r="H83" s="15"/>
      <c r="I83" s="271">
        <f>+ROUND(I81+I82,0)</f>
        <v>14883689</v>
      </c>
      <c r="J83" s="270">
        <f>+ROUND(J81+J82,0)</f>
        <v>13437634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115415994</v>
      </c>
      <c r="P83" s="387">
        <f>+ROUND(P81+P82,0)</f>
        <v>279061139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-165622</v>
      </c>
      <c r="G85" s="291">
        <f>+ROUND(G50,0)-ROUND(G79,0)+ROUND(G83,0)</f>
        <v>48514952</v>
      </c>
      <c r="H85" s="15"/>
      <c r="I85" s="292">
        <f>+ROUND(I50,0)-ROUND(I79,0)+ROUND(I83,0)</f>
        <v>430519</v>
      </c>
      <c r="J85" s="291">
        <f>+ROUND(J50,0)-ROUND(J79,0)+ROUND(J83,0)</f>
        <v>-3453886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264897</v>
      </c>
      <c r="P85" s="389">
        <f>+ROUND(P50,0)-ROUND(P79,0)+ROUND(P83,0)</f>
        <v>45061066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165622</v>
      </c>
      <c r="G86" s="293">
        <f>+ROUND(G103,0)+ROUND(G122,0)+ROUND(G129,0)-ROUND(G134,0)</f>
        <v>-48514952</v>
      </c>
      <c r="H86" s="15"/>
      <c r="I86" s="294">
        <f>+ROUND(I103,0)+ROUND(I122,0)+ROUND(I129,0)-ROUND(I134,0)</f>
        <v>-430519</v>
      </c>
      <c r="J86" s="293">
        <f>+ROUND(J103,0)+ROUND(J122,0)+ROUND(J129,0)-ROUND(J134,0)</f>
        <v>3453886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-264897</v>
      </c>
      <c r="P86" s="391">
        <f>+ROUND(P103,0)+ROUND(P122,0)+ROUND(P129,0)-ROUND(P134,0)</f>
        <v>-45061066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>
        <v>-45000000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-45000000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-45000000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-45000000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22455</v>
      </c>
      <c r="G100" s="233">
        <v>-8757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22455</v>
      </c>
      <c r="P100" s="384">
        <f>+ROUND(+G100+J100+M100,0)</f>
        <v>-8757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22455</v>
      </c>
      <c r="G101" s="235">
        <f>+ROUND(+SUM(G99:G100),0)</f>
        <v>-8757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22455</v>
      </c>
      <c r="P101" s="363">
        <f>+ROUND(+SUM(P99:P100),0)</f>
        <v>-8757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22455</v>
      </c>
      <c r="G103" s="257">
        <f>+ROUND(G91+G97+G101,0)</f>
        <v>-45008757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22455</v>
      </c>
      <c r="P103" s="380">
        <f>+ROUND(P91+P97+P101,0)</f>
        <v>-45008757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61529</v>
      </c>
      <c r="G118" s="259">
        <v>5824</v>
      </c>
      <c r="H118" s="15"/>
      <c r="I118" s="260"/>
      <c r="J118" s="259"/>
      <c r="K118" s="227"/>
      <c r="L118" s="260">
        <v>-771496</v>
      </c>
      <c r="M118" s="259">
        <v>-887030</v>
      </c>
      <c r="N118" s="227"/>
      <c r="O118" s="366">
        <f>+ROUND(+F118+I118+L118,0)</f>
        <v>-709967</v>
      </c>
      <c r="P118" s="359">
        <f>+ROUND(+G118+J118+M118,0)</f>
        <v>-881206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61529</v>
      </c>
      <c r="G120" s="261">
        <f>+ROUND(+SUM(G118:G119),0)</f>
        <v>5824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-771496</v>
      </c>
      <c r="M120" s="261">
        <f>+ROUND(+SUM(M118:M119),0)</f>
        <v>-887030</v>
      </c>
      <c r="N120" s="227"/>
      <c r="O120" s="381">
        <f>+ROUND(+SUM(O118:O119),0)</f>
        <v>-709967</v>
      </c>
      <c r="P120" s="382">
        <f>+ROUND(+SUM(P118:P119),0)</f>
        <v>-881206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61529</v>
      </c>
      <c r="G122" s="272">
        <f>+ROUND(G108+G112+G116+G120,0)</f>
        <v>5824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-771496</v>
      </c>
      <c r="M122" s="272">
        <f>+ROUND(M108+M112+M116+M120,0)</f>
        <v>-887030</v>
      </c>
      <c r="N122" s="227"/>
      <c r="O122" s="385">
        <f>+ROUND(O108+O112+O116+O120,0)</f>
        <v>-709967</v>
      </c>
      <c r="P122" s="392">
        <f>+ROUND(P108+P112+P116+P120,0)</f>
        <v>-881206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304166</v>
      </c>
      <c r="G125" s="233">
        <v>-3300852</v>
      </c>
      <c r="H125" s="15"/>
      <c r="I125" s="234">
        <f>-1229535+214671+710698</f>
        <v>-304166</v>
      </c>
      <c r="J125" s="233">
        <v>3300852</v>
      </c>
      <c r="K125" s="227"/>
      <c r="L125" s="234">
        <v>16093160</v>
      </c>
      <c r="M125" s="233">
        <v>5225532</v>
      </c>
      <c r="N125" s="227"/>
      <c r="O125" s="361">
        <f t="shared" si="7"/>
        <v>16093160</v>
      </c>
      <c r="P125" s="384">
        <f t="shared" si="7"/>
        <v>5225532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-61484</v>
      </c>
      <c r="G126" s="233">
        <v>-153955</v>
      </c>
      <c r="H126" s="15"/>
      <c r="I126" s="234">
        <f>-191456+65103</f>
        <v>-126353</v>
      </c>
      <c r="J126" s="233">
        <v>153034</v>
      </c>
      <c r="K126" s="227"/>
      <c r="L126" s="234"/>
      <c r="M126" s="233"/>
      <c r="N126" s="227"/>
      <c r="O126" s="361">
        <f t="shared" si="7"/>
        <v>-187837</v>
      </c>
      <c r="P126" s="384">
        <f t="shared" si="7"/>
        <v>-921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242682</v>
      </c>
      <c r="G129" s="270">
        <f>+ROUND(+SUM(G124,G125,G126,G128),0)</f>
        <v>-3454807</v>
      </c>
      <c r="H129" s="15"/>
      <c r="I129" s="271">
        <f>+ROUND(+SUM(I124,I125,I126,I128),0)</f>
        <v>-430519</v>
      </c>
      <c r="J129" s="270">
        <f>+ROUND(+SUM(J124,J125,J126,J128),0)</f>
        <v>3453886</v>
      </c>
      <c r="K129" s="227"/>
      <c r="L129" s="271">
        <f>+ROUND(+SUM(L124,L125,L126,L128),0)</f>
        <v>16093160</v>
      </c>
      <c r="M129" s="270">
        <f>+ROUND(+SUM(M124,M125,M126,M128),0)</f>
        <v>5225532</v>
      </c>
      <c r="N129" s="227"/>
      <c r="O129" s="386">
        <f>+ROUND(+SUM(O124,O125,O126,O128),0)</f>
        <v>15905323</v>
      </c>
      <c r="P129" s="387">
        <f>+ROUND(+SUM(P124,P125,P126,P128),0)</f>
        <v>5224611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276429</v>
      </c>
      <c r="G131" s="229">
        <v>218991</v>
      </c>
      <c r="H131" s="15"/>
      <c r="I131" s="230"/>
      <c r="J131" s="229"/>
      <c r="K131" s="227"/>
      <c r="L131" s="230">
        <v>29547414</v>
      </c>
      <c r="M131" s="229">
        <v>25208912</v>
      </c>
      <c r="N131" s="227"/>
      <c r="O131" s="365">
        <f aca="true" t="shared" si="8" ref="O131:P133">+ROUND(+F131+I131+L131,0)</f>
        <v>29823843</v>
      </c>
      <c r="P131" s="378">
        <f t="shared" si="8"/>
        <v>25427903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-43</v>
      </c>
      <c r="G132" s="233">
        <v>226</v>
      </c>
      <c r="H132" s="15"/>
      <c r="I132" s="234"/>
      <c r="J132" s="233"/>
      <c r="K132" s="227"/>
      <c r="L132" s="234"/>
      <c r="M132" s="233"/>
      <c r="N132" s="227"/>
      <c r="O132" s="361">
        <f t="shared" si="8"/>
        <v>-43</v>
      </c>
      <c r="P132" s="384">
        <f t="shared" si="8"/>
        <v>226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437430</v>
      </c>
      <c r="G133" s="233">
        <v>276429</v>
      </c>
      <c r="H133" s="15"/>
      <c r="I133" s="234"/>
      <c r="J133" s="233"/>
      <c r="K133" s="227"/>
      <c r="L133" s="234">
        <v>44869078</v>
      </c>
      <c r="M133" s="233">
        <v>29547414</v>
      </c>
      <c r="N133" s="227"/>
      <c r="O133" s="361">
        <f t="shared" si="8"/>
        <v>45306508</v>
      </c>
      <c r="P133" s="384">
        <f t="shared" si="8"/>
        <v>29823843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161044</v>
      </c>
      <c r="G134" s="275">
        <f>+ROUND(+G133-G131-G132,0)</f>
        <v>57212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15321664</v>
      </c>
      <c r="M134" s="275">
        <f>+ROUND(+M133-M131-M132,0)</f>
        <v>4338502</v>
      </c>
      <c r="N134" s="227"/>
      <c r="O134" s="394">
        <f>+ROUND(+O133-O131-O132,0)</f>
        <v>15482708</v>
      </c>
      <c r="P134" s="395">
        <f>+ROUND(+P133-P131-P132,0)</f>
        <v>4395714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>
        <v>18937884</v>
      </c>
      <c r="G137" s="229">
        <v>19871841</v>
      </c>
      <c r="H137" s="15"/>
      <c r="I137" s="230">
        <v>189679</v>
      </c>
      <c r="J137" s="229">
        <v>189679</v>
      </c>
      <c r="K137" s="227"/>
      <c r="L137" s="230"/>
      <c r="M137" s="229"/>
      <c r="N137" s="227"/>
      <c r="O137" s="365">
        <f aca="true" t="shared" si="9" ref="O137:P139">+ROUND(+F137+I137+L137,0)</f>
        <v>19127563</v>
      </c>
      <c r="P137" s="378">
        <f t="shared" si="9"/>
        <v>20061520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>
        <v>18937884</v>
      </c>
      <c r="G139" s="233">
        <v>18937884</v>
      </c>
      <c r="H139" s="15"/>
      <c r="I139" s="234">
        <v>189679</v>
      </c>
      <c r="J139" s="233">
        <v>189679</v>
      </c>
      <c r="K139" s="227"/>
      <c r="L139" s="234"/>
      <c r="M139" s="233"/>
      <c r="N139" s="227"/>
      <c r="O139" s="361">
        <f t="shared" si="9"/>
        <v>19127563</v>
      </c>
      <c r="P139" s="384">
        <f t="shared" si="9"/>
        <v>19127563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-933957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-933957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161044</v>
      </c>
      <c r="G142" s="537">
        <f>+G134+G140</f>
        <v>-876745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15321664</v>
      </c>
      <c r="M142" s="537">
        <f>+M134+M140</f>
        <v>4338502</v>
      </c>
      <c r="N142" s="227"/>
      <c r="O142" s="394">
        <f>+O134+O140</f>
        <v>15482708</v>
      </c>
      <c r="P142" s="395">
        <f>+P134+P140</f>
        <v>3461757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23102023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457</v>
      </c>
      <c r="G148" s="792"/>
      <c r="H148" s="792"/>
      <c r="I148" s="793"/>
      <c r="J148" s="346"/>
      <c r="K148" s="16"/>
      <c r="L148" s="346" t="s">
        <v>234</v>
      </c>
      <c r="M148" s="791" t="s">
        <v>458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19375314</v>
      </c>
      <c r="G160" s="566">
        <f>+G133+G139</f>
        <v>19214313</v>
      </c>
      <c r="I160" s="565">
        <f>+I133+I139</f>
        <v>189679</v>
      </c>
      <c r="J160" s="566">
        <f>+J133+J139</f>
        <v>189679</v>
      </c>
      <c r="K160" s="227"/>
      <c r="L160" s="565">
        <f>+L133+L139</f>
        <v>44869078</v>
      </c>
      <c r="M160" s="566">
        <f>+M133+M139</f>
        <v>29547414</v>
      </c>
      <c r="N160" s="227"/>
      <c r="O160" s="569">
        <f>+ROUND(+F160+I160+L160,0)</f>
        <v>64434071</v>
      </c>
      <c r="P160" s="570">
        <f>+ROUND(+G160+J160+M160,0)</f>
        <v>48951406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19375314</v>
      </c>
      <c r="G161" s="563">
        <v>19214314</v>
      </c>
      <c r="I161" s="562">
        <v>189679</v>
      </c>
      <c r="J161" s="563">
        <v>189679</v>
      </c>
      <c r="K161" s="227"/>
      <c r="L161" s="562">
        <v>44869078</v>
      </c>
      <c r="M161" s="563">
        <v>29547414</v>
      </c>
      <c r="N161" s="227"/>
      <c r="O161" s="571">
        <f>+ROUND(+F161+I161+L161,0)</f>
        <v>64434071</v>
      </c>
      <c r="P161" s="572">
        <f>+ROUND(+G161+J161+M161,0)</f>
        <v>48951407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30.09.2023 г.</v>
      </c>
      <c r="G162" s="556">
        <f>+G11</f>
        <v>2022</v>
      </c>
      <c r="I162" s="594" t="str">
        <f>+I11</f>
        <v>30.09.2023 г.</v>
      </c>
      <c r="J162" s="558">
        <f>+J11</f>
        <v>2022</v>
      </c>
      <c r="K162" s="11"/>
      <c r="L162" s="595" t="str">
        <f>+L11</f>
        <v>30.09.2023 г.</v>
      </c>
      <c r="M162" s="561">
        <f>+M11</f>
        <v>2022</v>
      </c>
      <c r="N162" s="11"/>
      <c r="O162" s="596" t="str">
        <f>+O11</f>
        <v>30.09.2023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-1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-1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>
        <v>1</v>
      </c>
      <c r="H165" s="10"/>
      <c r="I165" s="347"/>
      <c r="J165" s="114"/>
      <c r="K165" s="10"/>
      <c r="L165" s="347"/>
      <c r="M165" s="114"/>
      <c r="N165" s="10"/>
      <c r="O165" s="500"/>
      <c r="P165" s="501">
        <v>1</v>
      </c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8" sqref="F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МИНИСТЕРСКИ СЪВЕТ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695025</v>
      </c>
      <c r="J1" s="808"/>
      <c r="K1" s="439"/>
      <c r="L1" s="440" t="s">
        <v>245</v>
      </c>
      <c r="M1" s="441">
        <f>+'Cash-Flow-2023-Leva'!M1</f>
        <v>300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 t="str">
        <f>+'Cash-Flow-2023-Leva'!H3</f>
        <v>www.government.bg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МИНИСТЕРСКИ СЪВЕТ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30.09.2023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30.09.2023 г.</v>
      </c>
      <c r="G11" s="396">
        <f>+'Cash-Flow-2023-Leva'!G11</f>
        <v>2022</v>
      </c>
      <c r="H11" s="5"/>
      <c r="I11" s="589" t="str">
        <f>+O8</f>
        <v>30.09.2023 г.</v>
      </c>
      <c r="J11" s="397">
        <f>+'Cash-Flow-2023-Leva'!J11</f>
        <v>2022</v>
      </c>
      <c r="K11" s="5"/>
      <c r="L11" s="590" t="str">
        <f>+O8</f>
        <v>30.09.2023 г.</v>
      </c>
      <c r="M11" s="398">
        <f>+'Cash-Flow-2023-Leva'!M11</f>
        <v>2022</v>
      </c>
      <c r="N11" s="462"/>
      <c r="O11" s="591" t="str">
        <f>+O8</f>
        <v>30.09.2023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839.292</v>
      </c>
      <c r="G16" s="267">
        <f>+'Cash-Flow-2023-Leva'!G16/1000</f>
        <v>1000.865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839.292</v>
      </c>
      <c r="P16" s="384">
        <f t="shared" si="1"/>
        <v>1000.865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54.358</v>
      </c>
      <c r="G18" s="255">
        <f>+'Cash-Flow-2023-Leva'!G18/1000</f>
        <v>291.007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54.358</v>
      </c>
      <c r="P18" s="378">
        <f t="shared" si="1"/>
        <v>291.007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2548.95</v>
      </c>
      <c r="G19" s="278">
        <f>+'Cash-Flow-2023-Leva'!G19/1000</f>
        <v>2853.353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2548.95</v>
      </c>
      <c r="P19" s="412">
        <f t="shared" si="1"/>
        <v>2853.353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2094.984</v>
      </c>
      <c r="G20" s="278">
        <f>+'Cash-Flow-2023-Leva'!G20/1000</f>
        <v>2600.938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2094.984</v>
      </c>
      <c r="P20" s="412">
        <f t="shared" si="1"/>
        <v>2600.938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861.36</v>
      </c>
      <c r="G21" s="278">
        <f>+'Cash-Flow-2023-Leva'!G21/1000</f>
        <v>1651.851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861.36</v>
      </c>
      <c r="P21" s="412">
        <f t="shared" si="1"/>
        <v>1651.851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0.034</v>
      </c>
      <c r="G22" s="278">
        <f>+'Cash-Flow-2023-Leva'!G22/1000</f>
        <v>0.356</v>
      </c>
      <c r="H22" s="277"/>
      <c r="I22" s="279">
        <f>+'Cash-Flow-2023-Leva'!I22/1000</f>
        <v>0.02</v>
      </c>
      <c r="J22" s="278">
        <f>+'Cash-Flow-2023-Leva'!J22/1000</f>
        <v>0.003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0.054000000000000006</v>
      </c>
      <c r="P22" s="412">
        <f t="shared" si="1"/>
        <v>0.359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347.976</v>
      </c>
      <c r="G24" s="267">
        <f>+'Cash-Flow-2023-Leva'!G24/1000</f>
        <v>172.801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347.976</v>
      </c>
      <c r="P24" s="384">
        <f t="shared" si="1"/>
        <v>172.801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6746.953999999999</v>
      </c>
      <c r="G25" s="235">
        <f>+SUM(G15,G16,G18,G19,G20,G21,G22,G23,G24)</f>
        <v>8571.171</v>
      </c>
      <c r="H25" s="277"/>
      <c r="I25" s="236">
        <f>+SUM(I15,I16,I18,I19,I20,I21,I22,I23,I24)</f>
        <v>0.02</v>
      </c>
      <c r="J25" s="235">
        <f>+SUM(J15,J16,J18,J19,J20,J21,J22,J23,J24)</f>
        <v>0.003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6746.973999999999</v>
      </c>
      <c r="P25" s="363">
        <f>+SUM(P15,P16,P18,P19,P20,P21,P22,P23,P24)</f>
        <v>8571.174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1720.615</v>
      </c>
      <c r="G27" s="255">
        <f>+'Cash-Flow-2023-Leva'!G27/1000</f>
        <v>2948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1720.615</v>
      </c>
      <c r="P27" s="378">
        <f t="shared" si="2"/>
        <v>2948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1472.74</v>
      </c>
      <c r="G28" s="278">
        <f>+'Cash-Flow-2023-Leva'!G28/1000</f>
        <v>1139.369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1472.74</v>
      </c>
      <c r="P28" s="412">
        <f t="shared" si="2"/>
        <v>1139.369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3193.355</v>
      </c>
      <c r="G30" s="235">
        <f>+SUM(G27:G29)</f>
        <v>4087.3689999999997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3193.355</v>
      </c>
      <c r="P30" s="363">
        <f>+SUM(P27:P29)</f>
        <v>4087.3689999999997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-3096.065</v>
      </c>
      <c r="G37" s="235">
        <f>+'Cash-Flow-2023-Leva'!G37/1000</f>
        <v>-3558.901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-3096.065</v>
      </c>
      <c r="P37" s="363">
        <f t="shared" si="3"/>
        <v>-3558.901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-2639.591</v>
      </c>
      <c r="G38" s="280">
        <f>+'Cash-Flow-2023-Leva'!G38/1000</f>
        <v>-2702.426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-2639.591</v>
      </c>
      <c r="P38" s="413">
        <f t="shared" si="3"/>
        <v>-2702.426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-408.156</v>
      </c>
      <c r="G39" s="282">
        <f>+'Cash-Flow-2023-Leva'!G39/1000</f>
        <v>-808.322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-408.156</v>
      </c>
      <c r="P39" s="414">
        <f t="shared" si="3"/>
        <v>-808.322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-48.318</v>
      </c>
      <c r="G40" s="284">
        <f>+'Cash-Flow-2023-Leva'!G40/1000</f>
        <v>-48.153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-48.318</v>
      </c>
      <c r="P40" s="415">
        <f t="shared" si="3"/>
        <v>-48.153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5.279</v>
      </c>
      <c r="G42" s="235">
        <f>+'Cash-Flow-2023-Leva'!G42/1000</f>
        <v>24.855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5.279</v>
      </c>
      <c r="P42" s="363">
        <f>+G42+J42+M42</f>
        <v>24.855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489.507</v>
      </c>
      <c r="J44" s="255">
        <f>+'Cash-Flow-2023-Leva'!J44/1000</f>
        <v>3105.114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489.507</v>
      </c>
      <c r="P44" s="378">
        <f t="shared" si="4"/>
        <v>3105.114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58.05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44.734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58.05</v>
      </c>
      <c r="P45" s="412">
        <f t="shared" si="4"/>
        <v>44.734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20.715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20.715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112.8</v>
      </c>
      <c r="G47" s="267">
        <f>+'Cash-Flow-2023-Leva'!G47/1000</f>
        <v>80.994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112.8</v>
      </c>
      <c r="P47" s="384">
        <f t="shared" si="4"/>
        <v>80.994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170.85</v>
      </c>
      <c r="G48" s="235">
        <f>+SUM(G44:G47)</f>
        <v>80.994</v>
      </c>
      <c r="H48" s="277"/>
      <c r="I48" s="236">
        <f>+SUM(I44:I47)</f>
        <v>489.507</v>
      </c>
      <c r="J48" s="235">
        <f>+SUM(J44:J47)</f>
        <v>3170.563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660.357</v>
      </c>
      <c r="P48" s="363">
        <f>+SUM(P44:P47)</f>
        <v>3251.5570000000002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7020.373</v>
      </c>
      <c r="G50" s="257">
        <f>+G25+G30+G37+G42+G48</f>
        <v>9205.488000000001</v>
      </c>
      <c r="H50" s="277"/>
      <c r="I50" s="258">
        <f>+I25+I30+I37+I42+I48</f>
        <v>489.527</v>
      </c>
      <c r="J50" s="257">
        <f>+J25+J30+J37+J42+J48</f>
        <v>3170.5660000000003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7509.9</v>
      </c>
      <c r="P50" s="380">
        <f>+P25+P30+P37+P42+P48</f>
        <v>12376.054000000002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16330.833</v>
      </c>
      <c r="G53" s="228">
        <f>+'Cash-Flow-2023-Leva'!G53/1000</f>
        <v>34219.176</v>
      </c>
      <c r="H53" s="277"/>
      <c r="I53" s="238">
        <f>+'Cash-Flow-2023-Leva'!I53/1000</f>
        <v>6293.463</v>
      </c>
      <c r="J53" s="228">
        <f>+'Cash-Flow-2023-Leva'!J53/1000</f>
        <v>8832.221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22624.296000000002</v>
      </c>
      <c r="P53" s="359">
        <f t="shared" si="5"/>
        <v>43051.397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216.439</v>
      </c>
      <c r="G54" s="267">
        <f>+'Cash-Flow-2023-Leva'!G54/1000</f>
        <v>331.299</v>
      </c>
      <c r="H54" s="277"/>
      <c r="I54" s="268">
        <f>+'Cash-Flow-2023-Leva'!I54/1000</f>
        <v>2.015</v>
      </c>
      <c r="J54" s="267">
        <f>+'Cash-Flow-2023-Leva'!J54/1000</f>
        <v>6.427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218.45399999999998</v>
      </c>
      <c r="P54" s="384">
        <f t="shared" si="5"/>
        <v>337.726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2471.034</v>
      </c>
      <c r="G55" s="267">
        <f>+'Cash-Flow-2023-Leva'!G55/1000</f>
        <v>1900.421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2471.034</v>
      </c>
      <c r="P55" s="384">
        <f t="shared" si="5"/>
        <v>1900.421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46533.294</v>
      </c>
      <c r="G56" s="267">
        <f>+'Cash-Flow-2023-Leva'!G56/1000</f>
        <v>56197.431</v>
      </c>
      <c r="H56" s="277"/>
      <c r="I56" s="268">
        <f>+'Cash-Flow-2023-Leva'!I56/1000</f>
        <v>3798.894</v>
      </c>
      <c r="J56" s="267">
        <f>+'Cash-Flow-2023-Leva'!J56/1000</f>
        <v>5849.968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50332.188</v>
      </c>
      <c r="P56" s="384">
        <f t="shared" si="5"/>
        <v>62047.399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10987.411</v>
      </c>
      <c r="G57" s="267">
        <f>+'Cash-Flow-2023-Leva'!G57/1000</f>
        <v>13038.962</v>
      </c>
      <c r="H57" s="277"/>
      <c r="I57" s="268">
        <f>+'Cash-Flow-2023-Leva'!I57/1000</f>
        <v>827.133</v>
      </c>
      <c r="J57" s="267">
        <f>+'Cash-Flow-2023-Leva'!J57/1000</f>
        <v>1282.716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11814.544</v>
      </c>
      <c r="P57" s="384">
        <f t="shared" si="5"/>
        <v>14321.678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76539.011</v>
      </c>
      <c r="G58" s="261">
        <f>+SUM(G53:G57)</f>
        <v>105687.28899999999</v>
      </c>
      <c r="H58" s="277"/>
      <c r="I58" s="262">
        <f>+SUM(I53:I57)</f>
        <v>10921.505</v>
      </c>
      <c r="J58" s="261">
        <f>+SUM(J53:J57)</f>
        <v>15971.331999999999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87460.516</v>
      </c>
      <c r="P58" s="382">
        <f>+SUM(P53:P57)</f>
        <v>121658.621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1952.483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1952.483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988.08</v>
      </c>
      <c r="G61" s="267">
        <f>+'Cash-Flow-2023-Leva'!G61/1000</f>
        <v>8984.989</v>
      </c>
      <c r="H61" s="277"/>
      <c r="I61" s="268">
        <f>+'Cash-Flow-2023-Leva'!I61/1000</f>
        <v>815.576</v>
      </c>
      <c r="J61" s="267">
        <f>+'Cash-Flow-2023-Leva'!J61/1000</f>
        <v>541.677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1803.656</v>
      </c>
      <c r="P61" s="384">
        <f t="shared" si="6"/>
        <v>9526.666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87.979</v>
      </c>
      <c r="G62" s="267">
        <f>+'Cash-Flow-2023-Leva'!G62/1000</f>
        <v>435.217</v>
      </c>
      <c r="H62" s="277"/>
      <c r="I62" s="268">
        <f>+'Cash-Flow-2023-Leva'!I62/1000</f>
        <v>3188.487</v>
      </c>
      <c r="J62" s="267">
        <f>+'Cash-Flow-2023-Leva'!J62/1000</f>
        <v>3549.077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3276.466</v>
      </c>
      <c r="P62" s="384">
        <f t="shared" si="6"/>
        <v>3984.2940000000003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1076.059</v>
      </c>
      <c r="G65" s="261">
        <f>+SUM(G60:G63)</f>
        <v>11372.689</v>
      </c>
      <c r="H65" s="277"/>
      <c r="I65" s="262">
        <f>+SUM(I60:I63)</f>
        <v>4004.063</v>
      </c>
      <c r="J65" s="261">
        <f>+SUM(J60:J63)</f>
        <v>4090.7540000000004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5080.121999999999</v>
      </c>
      <c r="P65" s="382">
        <f>+SUM(P60:P63)</f>
        <v>15463.443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114.541</v>
      </c>
      <c r="G71" s="228">
        <f>+'Cash-Flow-2023-Leva'!G71/1000</f>
        <v>254.889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114.541</v>
      </c>
      <c r="P71" s="359">
        <f>+G71+J71+M71</f>
        <v>254.889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114.541</v>
      </c>
      <c r="G73" s="261">
        <f>+SUM(G71:G72)</f>
        <v>254.889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114.541</v>
      </c>
      <c r="P73" s="382">
        <f>+SUM(P71:P72)</f>
        <v>254.889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29988.689</v>
      </c>
      <c r="G75" s="228">
        <f>+'Cash-Flow-2023-Leva'!G75/1000</f>
        <v>94634.174</v>
      </c>
      <c r="H75" s="277"/>
      <c r="I75" s="238">
        <f>+'Cash-Flow-2023-Leva'!I75/1000</f>
        <v>17.129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30005.818</v>
      </c>
      <c r="P75" s="359">
        <f>+G75+J75+M75</f>
        <v>94634.174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14365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14365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29988.689</v>
      </c>
      <c r="G77" s="261">
        <f>+SUM(G75:G76)</f>
        <v>108999.174</v>
      </c>
      <c r="H77" s="277"/>
      <c r="I77" s="262">
        <f>+SUM(I75:I76)</f>
        <v>17.129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30005.818</v>
      </c>
      <c r="P77" s="382">
        <f>+SUM(P75:P76)</f>
        <v>108999.174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107718.29999999999</v>
      </c>
      <c r="G79" s="272">
        <f>+G58+G65+G69+G73+G77</f>
        <v>226314.04099999997</v>
      </c>
      <c r="H79" s="277"/>
      <c r="I79" s="269">
        <f>+I58+I65+I69+I73+I77</f>
        <v>14942.697</v>
      </c>
      <c r="J79" s="272">
        <f>+J58+J65+J69+J73+J77</f>
        <v>20062.086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122660.997</v>
      </c>
      <c r="P79" s="392">
        <f>+P58+P65+P69+P73+P77</f>
        <v>246376.127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100532.305</v>
      </c>
      <c r="G81" s="255">
        <f>+'Cash-Flow-2023-Leva'!G81/1000</f>
        <v>265623.505</v>
      </c>
      <c r="H81" s="277"/>
      <c r="I81" s="256">
        <f>+'Cash-Flow-2023-Leva'!I81/1000</f>
        <v>14883.689</v>
      </c>
      <c r="J81" s="255">
        <f>+'Cash-Flow-2023-Leva'!J81/1000</f>
        <v>13437.634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115415.99399999999</v>
      </c>
      <c r="P81" s="378">
        <f>+G81+J81+M81</f>
        <v>279061.139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100532.305</v>
      </c>
      <c r="G83" s="270">
        <f>+G81+G82</f>
        <v>265623.505</v>
      </c>
      <c r="H83" s="277"/>
      <c r="I83" s="271">
        <f>+I81+I82</f>
        <v>14883.689</v>
      </c>
      <c r="J83" s="270">
        <f>+J81+J82</f>
        <v>13437.634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115415.99399999999</v>
      </c>
      <c r="P83" s="387">
        <f>+P81+P82</f>
        <v>279061.139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-165.62200000000303</v>
      </c>
      <c r="G85" s="291">
        <f>+G50-G79+G83</f>
        <v>48514.95200000005</v>
      </c>
      <c r="H85" s="277"/>
      <c r="I85" s="292">
        <f>+I50-I79+I83</f>
        <v>430.51900000000023</v>
      </c>
      <c r="J85" s="291">
        <f>+J50-J79+J83</f>
        <v>-3453.8860000000004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264.89699999998265</v>
      </c>
      <c r="P85" s="389">
        <f>+P50-P79+P83</f>
        <v>45061.06600000002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165.62199999999996</v>
      </c>
      <c r="G86" s="293">
        <f>+G103+G122+G129-G134</f>
        <v>-48514.952</v>
      </c>
      <c r="H86" s="277"/>
      <c r="I86" s="294">
        <f>+I103+I122+I129-I134</f>
        <v>-430.519</v>
      </c>
      <c r="J86" s="293">
        <f>+J103+J122+J129-J134</f>
        <v>3453.886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-264.89700000000084</v>
      </c>
      <c r="P86" s="391">
        <f>+P103+P122+P129-P134</f>
        <v>-45061.066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-45000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-45000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-45000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-45000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22.455</v>
      </c>
      <c r="G100" s="267">
        <f>+'Cash-Flow-2023-Leva'!G100/1000</f>
        <v>-8.757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22.455</v>
      </c>
      <c r="P100" s="384">
        <f>+G100+J100+M100</f>
        <v>-8.757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22.455</v>
      </c>
      <c r="G101" s="235">
        <f>+SUM(G99:G100)</f>
        <v>-8.757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22.455</v>
      </c>
      <c r="P101" s="363">
        <f>+SUM(P99:P100)</f>
        <v>-8.757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22.455</v>
      </c>
      <c r="G103" s="257">
        <f>+G91+G97+G101</f>
        <v>-45008.757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22.455</v>
      </c>
      <c r="P103" s="380">
        <f>+P91+P97+P101</f>
        <v>-45008.757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61.529</v>
      </c>
      <c r="G118" s="228">
        <f>+'Cash-Flow-2023-Leva'!G118/1000</f>
        <v>5.824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-771.496</v>
      </c>
      <c r="M118" s="228">
        <f>+'Cash-Flow-2023-Leva'!M118/1000</f>
        <v>-887.03</v>
      </c>
      <c r="N118" s="463"/>
      <c r="O118" s="366">
        <f>+F118+I118+L118</f>
        <v>-709.967</v>
      </c>
      <c r="P118" s="359">
        <f>+G118+J118+M118</f>
        <v>-881.206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61.529</v>
      </c>
      <c r="G120" s="261">
        <f>+SUM(G118:G119)</f>
        <v>5.824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-771.496</v>
      </c>
      <c r="M120" s="261">
        <f>+SUM(M118:M119)</f>
        <v>-887.03</v>
      </c>
      <c r="N120" s="463"/>
      <c r="O120" s="381">
        <f>+SUM(O118:O119)</f>
        <v>-709.967</v>
      </c>
      <c r="P120" s="382">
        <f>+SUM(P118:P119)</f>
        <v>-881.206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61.529</v>
      </c>
      <c r="G122" s="272">
        <f>+G108+G112+G116+G120</f>
        <v>5.824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-771.496</v>
      </c>
      <c r="M122" s="272">
        <f>+M108+M112+M116+M120</f>
        <v>-887.03</v>
      </c>
      <c r="N122" s="463"/>
      <c r="O122" s="385">
        <f>+O108+O112+O116+O120</f>
        <v>-709.967</v>
      </c>
      <c r="P122" s="392">
        <f>+P108+P112+P116+P120</f>
        <v>-881.206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304.166</v>
      </c>
      <c r="G125" s="267">
        <f>+'Cash-Flow-2023-Leva'!G125/1000</f>
        <v>-3300.852</v>
      </c>
      <c r="H125" s="277"/>
      <c r="I125" s="268">
        <f>+'Cash-Flow-2023-Leva'!I125/1000</f>
        <v>-304.166</v>
      </c>
      <c r="J125" s="267">
        <f>+'Cash-Flow-2023-Leva'!J125/1000</f>
        <v>3300.852</v>
      </c>
      <c r="K125" s="277"/>
      <c r="L125" s="268">
        <f>+'Cash-Flow-2023-Leva'!L125/1000</f>
        <v>16093.16</v>
      </c>
      <c r="M125" s="267">
        <f>+'Cash-Flow-2023-Leva'!M125/1000</f>
        <v>5225.532</v>
      </c>
      <c r="N125" s="463"/>
      <c r="O125" s="361">
        <f t="shared" si="8"/>
        <v>16093.16</v>
      </c>
      <c r="P125" s="384">
        <f t="shared" si="8"/>
        <v>5225.532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-61.484</v>
      </c>
      <c r="G126" s="267">
        <f>+'Cash-Flow-2023-Leva'!G126/1000</f>
        <v>-153.955</v>
      </c>
      <c r="H126" s="277"/>
      <c r="I126" s="268">
        <f>+'Cash-Flow-2023-Leva'!I126/1000</f>
        <v>-126.353</v>
      </c>
      <c r="J126" s="267">
        <f>+'Cash-Flow-2023-Leva'!J126/1000</f>
        <v>153.034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-187.837</v>
      </c>
      <c r="P126" s="384">
        <f t="shared" si="8"/>
        <v>-0.9210000000000207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242.682</v>
      </c>
      <c r="G129" s="270">
        <f>+SUM(G124,G125,G126,G128)</f>
        <v>-3454.807</v>
      </c>
      <c r="H129" s="277"/>
      <c r="I129" s="271">
        <f>+SUM(I124,I125,I126,I128)</f>
        <v>-430.519</v>
      </c>
      <c r="J129" s="270">
        <f>+SUM(J124,J125,J126,J128)</f>
        <v>3453.886</v>
      </c>
      <c r="K129" s="277"/>
      <c r="L129" s="271">
        <f>+SUM(L124,L125,L126,L128)</f>
        <v>16093.16</v>
      </c>
      <c r="M129" s="270">
        <f>+SUM(M124,M125,M126,M128)</f>
        <v>5225.532</v>
      </c>
      <c r="N129" s="463"/>
      <c r="O129" s="386">
        <f>+SUM(O124,O125,O126,O128)</f>
        <v>15905.323</v>
      </c>
      <c r="P129" s="387">
        <f>+SUM(P124,P125,P126,P128)</f>
        <v>5224.611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276.429</v>
      </c>
      <c r="G131" s="255">
        <f>+'Cash-Flow-2023-Leva'!G131/1000</f>
        <v>218.991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29547.414</v>
      </c>
      <c r="M131" s="255">
        <f>+'Cash-Flow-2023-Leva'!M131/1000</f>
        <v>25208.912</v>
      </c>
      <c r="N131" s="463"/>
      <c r="O131" s="365">
        <f aca="true" t="shared" si="9" ref="O131:P133">+F131+I131+L131</f>
        <v>29823.843</v>
      </c>
      <c r="P131" s="378">
        <f t="shared" si="9"/>
        <v>25427.903000000002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-0.043</v>
      </c>
      <c r="G132" s="267">
        <f>+'Cash-Flow-2023-Leva'!G132/1000</f>
        <v>0.226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-0.043</v>
      </c>
      <c r="P132" s="384">
        <f t="shared" si="9"/>
        <v>0.226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437.43</v>
      </c>
      <c r="G133" s="267">
        <f>+'Cash-Flow-2023-Leva'!G133/1000</f>
        <v>276.429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44869.078</v>
      </c>
      <c r="M133" s="267">
        <f>+'Cash-Flow-2023-Leva'!M133/1000</f>
        <v>29547.414</v>
      </c>
      <c r="N133" s="463"/>
      <c r="O133" s="361">
        <f t="shared" si="9"/>
        <v>45306.508</v>
      </c>
      <c r="P133" s="384">
        <f t="shared" si="9"/>
        <v>29823.843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161.04400000000004</v>
      </c>
      <c r="G134" s="275">
        <f>+G133-G131-G132</f>
        <v>57.21199999999996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15321.664</v>
      </c>
      <c r="M134" s="275">
        <f>+M133-M131-M132</f>
        <v>4338.502</v>
      </c>
      <c r="N134" s="463"/>
      <c r="O134" s="394">
        <f>+O133-O131-O132</f>
        <v>15482.708</v>
      </c>
      <c r="P134" s="395">
        <f>+P133-P131-P132</f>
        <v>4395.713999999999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18937.884</v>
      </c>
      <c r="G137" s="255">
        <f>+'Cash-Flow-2023-Leva'!G137/1000</f>
        <v>19871.841</v>
      </c>
      <c r="H137" s="277"/>
      <c r="I137" s="256">
        <f>+'Cash-Flow-2023-Leva'!I137/1000</f>
        <v>189.679</v>
      </c>
      <c r="J137" s="255">
        <f>+'Cash-Flow-2023-Leva'!J137/1000</f>
        <v>189.679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19127.563</v>
      </c>
      <c r="P137" s="378">
        <f t="shared" si="10"/>
        <v>20061.52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18937.884</v>
      </c>
      <c r="G139" s="267">
        <f>+'Cash-Flow-2023-Leva'!G139/1000</f>
        <v>18937.884</v>
      </c>
      <c r="H139" s="277"/>
      <c r="I139" s="268">
        <f>+'Cash-Flow-2023-Leva'!I139/1000</f>
        <v>189.679</v>
      </c>
      <c r="J139" s="267">
        <f>+'Cash-Flow-2023-Leva'!J139/1000</f>
        <v>189.679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19127.563</v>
      </c>
      <c r="P139" s="384">
        <f t="shared" si="10"/>
        <v>19127.563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-933.9570000000022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-933.9570000000022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161.04400000000004</v>
      </c>
      <c r="G142" s="275">
        <f>+G134+G140</f>
        <v>-876.7450000000022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15321.664</v>
      </c>
      <c r="M142" s="537">
        <f>+M134+M140</f>
        <v>4338.502</v>
      </c>
      <c r="N142" s="463"/>
      <c r="O142" s="549">
        <f>+O134+O140</f>
        <v>15482.708</v>
      </c>
      <c r="P142" s="550">
        <f>+P134+P140</f>
        <v>3461.756999999997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23102023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Валерия Димитрова</cp:lastModifiedBy>
  <cp:lastPrinted>2023-05-02T14:55:58Z</cp:lastPrinted>
  <dcterms:created xsi:type="dcterms:W3CDTF">2015-12-01T07:17:04Z</dcterms:created>
  <dcterms:modified xsi:type="dcterms:W3CDTF">2023-10-23T13:50:47Z</dcterms:modified>
  <cp:category/>
  <cp:version/>
  <cp:contentType/>
  <cp:contentStatus/>
</cp:coreProperties>
</file>